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5600" windowHeight="16060" activeTab="8"/>
  </bookViews>
  <sheets>
    <sheet name="IS" sheetId="1" r:id="rId1"/>
    <sheet name="PM calculation" sheetId="2" r:id="rId2"/>
    <sheet name="BS " sheetId="3" r:id="rId3"/>
    <sheet name="ATO " sheetId="4" r:id="rId4"/>
    <sheet name="Discount rate " sheetId="5" r:id="rId5"/>
    <sheet name="ROI approach " sheetId="6" r:id="rId6"/>
    <sheet name="RE approach " sheetId="7" r:id="rId7"/>
    <sheet name="DDM " sheetId="8" r:id="rId8"/>
    <sheet name="FCF " sheetId="9" r:id="rId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6" l="1"/>
  <c r="F7" i="6"/>
  <c r="G7" i="6"/>
  <c r="D7" i="6"/>
  <c r="C7" i="6"/>
  <c r="B105" i="5"/>
  <c r="B101" i="5"/>
  <c r="B103" i="5"/>
  <c r="B104" i="5"/>
  <c r="B102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36" i="5"/>
  <c r="F37" i="5"/>
  <c r="F38" i="5"/>
  <c r="F39" i="5"/>
  <c r="F40" i="5"/>
  <c r="F41" i="5"/>
  <c r="F42" i="5"/>
  <c r="F43" i="5"/>
  <c r="F24" i="5"/>
  <c r="F25" i="5"/>
  <c r="F26" i="5"/>
  <c r="F27" i="5"/>
  <c r="F28" i="5"/>
  <c r="F29" i="5"/>
  <c r="F30" i="5"/>
  <c r="F31" i="5"/>
  <c r="F32" i="5"/>
  <c r="F33" i="5"/>
  <c r="F34" i="5"/>
  <c r="F35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" i="5"/>
  <c r="D81" i="5"/>
  <c r="E81" i="5"/>
  <c r="F81" i="5"/>
  <c r="C81" i="5"/>
  <c r="D80" i="5"/>
  <c r="E80" i="5"/>
  <c r="F80" i="5"/>
  <c r="C80" i="5"/>
  <c r="C79" i="5"/>
  <c r="D79" i="5"/>
  <c r="E79" i="5"/>
  <c r="F79" i="5"/>
  <c r="B79" i="5"/>
  <c r="F82" i="5"/>
  <c r="B86" i="5"/>
  <c r="B87" i="5"/>
  <c r="B88" i="5"/>
  <c r="B89" i="5"/>
  <c r="B90" i="5"/>
  <c r="B64" i="5"/>
  <c r="B66" i="5"/>
  <c r="B67" i="5"/>
  <c r="B74" i="5"/>
  <c r="B93" i="5"/>
  <c r="C6" i="9"/>
  <c r="D6" i="9"/>
  <c r="E6" i="9"/>
  <c r="F6" i="9"/>
  <c r="G6" i="9"/>
  <c r="G11" i="9"/>
  <c r="G12" i="9"/>
  <c r="G8" i="8"/>
  <c r="G9" i="8"/>
  <c r="C8" i="7"/>
  <c r="D8" i="7"/>
  <c r="D9" i="7"/>
  <c r="E8" i="7"/>
  <c r="E9" i="7"/>
  <c r="F8" i="7"/>
  <c r="F9" i="7"/>
  <c r="G8" i="7"/>
  <c r="G9" i="7"/>
  <c r="C9" i="7"/>
  <c r="G8" i="9"/>
  <c r="B13" i="9"/>
  <c r="C8" i="9"/>
  <c r="C9" i="9"/>
  <c r="D8" i="9"/>
  <c r="D9" i="9"/>
  <c r="E8" i="9"/>
  <c r="E9" i="9"/>
  <c r="F8" i="9"/>
  <c r="F9" i="9"/>
  <c r="G9" i="9"/>
  <c r="B10" i="9"/>
  <c r="B14" i="9"/>
  <c r="B16" i="9"/>
  <c r="B15" i="9"/>
  <c r="G14" i="6"/>
  <c r="G8" i="6"/>
  <c r="G9" i="6"/>
  <c r="G11" i="6"/>
  <c r="G12" i="6"/>
  <c r="G15" i="6"/>
  <c r="B16" i="6"/>
  <c r="C8" i="6"/>
  <c r="C9" i="6"/>
  <c r="C11" i="6"/>
  <c r="C12" i="6"/>
  <c r="D8" i="6"/>
  <c r="D9" i="6"/>
  <c r="D11" i="6"/>
  <c r="D12" i="6"/>
  <c r="E8" i="6"/>
  <c r="E9" i="6"/>
  <c r="E11" i="6"/>
  <c r="E12" i="6"/>
  <c r="F8" i="6"/>
  <c r="F9" i="6"/>
  <c r="F11" i="6"/>
  <c r="F12" i="6"/>
  <c r="B13" i="6"/>
  <c r="B19" i="6"/>
  <c r="G15" i="7"/>
  <c r="B97" i="5"/>
  <c r="B17" i="6"/>
  <c r="B6" i="6"/>
  <c r="E5" i="6"/>
  <c r="F5" i="6"/>
  <c r="G5" i="6"/>
  <c r="D5" i="6"/>
  <c r="D11" i="4"/>
  <c r="E11" i="4"/>
  <c r="F11" i="4"/>
  <c r="C11" i="4"/>
  <c r="E3" i="7"/>
  <c r="F3" i="7"/>
  <c r="G3" i="7"/>
  <c r="D3" i="7"/>
  <c r="C23" i="2"/>
  <c r="D23" i="2"/>
  <c r="E23" i="2"/>
  <c r="F23" i="2"/>
  <c r="B23" i="2"/>
  <c r="C16" i="2"/>
  <c r="D16" i="2"/>
  <c r="E16" i="2"/>
  <c r="F16" i="2"/>
  <c r="C14" i="2"/>
  <c r="D14" i="2"/>
  <c r="E14" i="2"/>
  <c r="F14" i="2"/>
  <c r="B14" i="2"/>
  <c r="C13" i="2"/>
  <c r="D13" i="2"/>
  <c r="E13" i="2"/>
  <c r="F13" i="2"/>
  <c r="B13" i="2"/>
  <c r="C12" i="2"/>
  <c r="D12" i="2"/>
  <c r="E12" i="2"/>
  <c r="F12" i="2"/>
  <c r="B12" i="2"/>
  <c r="C11" i="2"/>
  <c r="D11" i="2"/>
  <c r="E11" i="2"/>
  <c r="F11" i="2"/>
  <c r="B11" i="2"/>
  <c r="C4" i="2"/>
  <c r="C6" i="2"/>
  <c r="C9" i="2"/>
  <c r="D4" i="2"/>
  <c r="D6" i="2"/>
  <c r="D9" i="2"/>
  <c r="E4" i="2"/>
  <c r="E6" i="2"/>
  <c r="E9" i="2"/>
  <c r="F4" i="2"/>
  <c r="F6" i="2"/>
  <c r="F9" i="2"/>
  <c r="B4" i="2"/>
  <c r="B6" i="2"/>
  <c r="B9" i="2"/>
  <c r="C2" i="7"/>
  <c r="D2" i="7"/>
  <c r="E2" i="7"/>
  <c r="F2" i="7"/>
  <c r="G2" i="7"/>
  <c r="G4" i="7"/>
  <c r="G6" i="7"/>
  <c r="G2" i="8"/>
  <c r="G6" i="8"/>
  <c r="B10" i="8"/>
  <c r="F24" i="2"/>
  <c r="C3" i="7"/>
  <c r="C4" i="7"/>
  <c r="C6" i="7"/>
  <c r="C2" i="8"/>
  <c r="C6" i="8"/>
  <c r="D4" i="7"/>
  <c r="D6" i="7"/>
  <c r="D2" i="8"/>
  <c r="D6" i="8"/>
  <c r="E4" i="7"/>
  <c r="E6" i="7"/>
  <c r="E2" i="8"/>
  <c r="E6" i="8"/>
  <c r="F4" i="7"/>
  <c r="F6" i="7"/>
  <c r="F2" i="8"/>
  <c r="F6" i="8"/>
  <c r="B7" i="8"/>
  <c r="B11" i="8"/>
  <c r="C2" i="6"/>
  <c r="B16" i="2"/>
  <c r="F17" i="2"/>
  <c r="C3" i="6"/>
  <c r="C4" i="6"/>
  <c r="C2" i="9"/>
  <c r="E2" i="4"/>
  <c r="E3" i="4"/>
  <c r="E4" i="4"/>
  <c r="C6" i="6"/>
  <c r="C3" i="9"/>
  <c r="F2" i="4"/>
  <c r="F3" i="4"/>
  <c r="F4" i="4"/>
  <c r="B3" i="9"/>
  <c r="C4" i="9"/>
  <c r="C5" i="9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B68" i="5"/>
  <c r="B69" i="5"/>
  <c r="D2" i="6"/>
  <c r="D3" i="6"/>
  <c r="D4" i="6"/>
  <c r="D2" i="9"/>
  <c r="B2" i="4"/>
  <c r="B3" i="4"/>
  <c r="B4" i="4"/>
  <c r="C2" i="4"/>
  <c r="C3" i="4"/>
  <c r="C4" i="4"/>
  <c r="D2" i="4"/>
  <c r="D3" i="4"/>
  <c r="D4" i="4"/>
  <c r="F12" i="4"/>
  <c r="D6" i="6"/>
  <c r="D3" i="9"/>
  <c r="D4" i="9"/>
  <c r="D5" i="9"/>
  <c r="E2" i="6"/>
  <c r="E3" i="6"/>
  <c r="E4" i="6"/>
  <c r="E2" i="9"/>
  <c r="E6" i="6"/>
  <c r="E3" i="9"/>
  <c r="E4" i="9"/>
  <c r="E5" i="9"/>
  <c r="F2" i="6"/>
  <c r="F3" i="6"/>
  <c r="F4" i="6"/>
  <c r="F2" i="9"/>
  <c r="F6" i="6"/>
  <c r="F3" i="9"/>
  <c r="F4" i="9"/>
  <c r="F5" i="9"/>
  <c r="G2" i="6"/>
  <c r="G3" i="6"/>
  <c r="G4" i="6"/>
  <c r="G2" i="9"/>
  <c r="G6" i="6"/>
  <c r="G3" i="9"/>
  <c r="G4" i="9"/>
  <c r="G5" i="9"/>
  <c r="B17" i="9"/>
  <c r="B85" i="5"/>
  <c r="B4" i="1"/>
  <c r="B6" i="1"/>
  <c r="B11" i="1"/>
  <c r="B13" i="1"/>
  <c r="C4" i="1"/>
  <c r="C6" i="1"/>
  <c r="C11" i="1"/>
  <c r="C13" i="1"/>
  <c r="D4" i="1"/>
  <c r="D6" i="1"/>
  <c r="D11" i="1"/>
  <c r="D13" i="1"/>
  <c r="E4" i="1"/>
  <c r="E6" i="1"/>
  <c r="E11" i="1"/>
  <c r="E13" i="1"/>
  <c r="F4" i="1"/>
  <c r="F6" i="1"/>
  <c r="F11" i="1"/>
  <c r="F13" i="1"/>
  <c r="B23" i="1"/>
  <c r="C23" i="1"/>
  <c r="D23" i="1"/>
  <c r="E23" i="1"/>
  <c r="F23" i="1"/>
  <c r="F24" i="1"/>
  <c r="C5" i="7"/>
  <c r="D5" i="7"/>
  <c r="E5" i="7"/>
  <c r="F5" i="7"/>
  <c r="G5" i="7"/>
  <c r="B13" i="8"/>
  <c r="F7" i="4"/>
  <c r="F6" i="4"/>
  <c r="F8" i="4"/>
  <c r="F9" i="4"/>
  <c r="B7" i="7"/>
  <c r="C7" i="7"/>
  <c r="D7" i="7"/>
  <c r="E7" i="7"/>
  <c r="F7" i="7"/>
  <c r="G7" i="7"/>
  <c r="B18" i="7"/>
  <c r="B18" i="6"/>
  <c r="B21" i="6"/>
  <c r="C19" i="1"/>
  <c r="D19" i="1"/>
  <c r="E19" i="1"/>
  <c r="F19" i="1"/>
  <c r="F20" i="1"/>
  <c r="B65" i="5"/>
  <c r="C7" i="4"/>
  <c r="D7" i="4"/>
  <c r="E7" i="4"/>
  <c r="B7" i="4"/>
  <c r="C6" i="4"/>
  <c r="D6" i="4"/>
  <c r="E6" i="4"/>
  <c r="B6" i="4"/>
  <c r="F29" i="3"/>
  <c r="F21" i="3"/>
  <c r="F30" i="3"/>
  <c r="F17" i="3"/>
  <c r="F31" i="3"/>
  <c r="E29" i="3"/>
  <c r="E21" i="3"/>
  <c r="E30" i="3"/>
  <c r="E17" i="3"/>
  <c r="E31" i="3"/>
  <c r="D29" i="3"/>
  <c r="D21" i="3"/>
  <c r="D30" i="3"/>
  <c r="D17" i="3"/>
  <c r="D31" i="3"/>
  <c r="C29" i="3"/>
  <c r="C21" i="3"/>
  <c r="C30" i="3"/>
  <c r="C17" i="3"/>
  <c r="C31" i="3"/>
  <c r="B29" i="3"/>
  <c r="B21" i="3"/>
  <c r="B30" i="3"/>
  <c r="B17" i="3"/>
  <c r="B31" i="3"/>
  <c r="F12" i="3"/>
  <c r="F5" i="3"/>
  <c r="F13" i="3"/>
  <c r="E12" i="3"/>
  <c r="E5" i="3"/>
  <c r="E13" i="3"/>
  <c r="D12" i="3"/>
  <c r="D5" i="3"/>
  <c r="D13" i="3"/>
  <c r="C12" i="3"/>
  <c r="C5" i="3"/>
  <c r="C13" i="3"/>
  <c r="B12" i="3"/>
  <c r="B5" i="3"/>
  <c r="B13" i="3"/>
  <c r="C19" i="2"/>
  <c r="D19" i="2"/>
  <c r="E19" i="2"/>
  <c r="F19" i="2"/>
  <c r="B19" i="2"/>
  <c r="F15" i="1"/>
  <c r="E15" i="1"/>
  <c r="D15" i="1"/>
  <c r="C15" i="1"/>
  <c r="B15" i="1"/>
  <c r="B73" i="5"/>
  <c r="D8" i="4"/>
  <c r="D9" i="4"/>
  <c r="E5" i="4"/>
  <c r="B8" i="4"/>
  <c r="E8" i="4"/>
  <c r="C8" i="4"/>
  <c r="C9" i="4"/>
  <c r="D5" i="4"/>
  <c r="C5" i="4"/>
  <c r="F20" i="2"/>
  <c r="E9" i="4"/>
  <c r="F5" i="4"/>
  <c r="B9" i="4"/>
  <c r="C10" i="7"/>
  <c r="C12" i="7"/>
  <c r="C13" i="7"/>
  <c r="D10" i="7"/>
  <c r="D12" i="7"/>
  <c r="D13" i="7"/>
  <c r="E10" i="7"/>
  <c r="E12" i="7"/>
  <c r="E13" i="7"/>
  <c r="F10" i="7"/>
  <c r="F12" i="7"/>
  <c r="F13" i="7"/>
  <c r="G10" i="7"/>
  <c r="G12" i="7"/>
  <c r="G13" i="7"/>
  <c r="B14" i="7"/>
  <c r="G16" i="7"/>
  <c r="B17" i="7"/>
  <c r="B19" i="7"/>
  <c r="B21" i="7"/>
  <c r="B18" i="9"/>
</calcChain>
</file>

<file path=xl/sharedStrings.xml><?xml version="1.0" encoding="utf-8"?>
<sst xmlns="http://schemas.openxmlformats.org/spreadsheetml/2006/main" count="279" uniqueCount="171">
  <si>
    <t>Particular</t>
  </si>
  <si>
    <t xml:space="preserve">Sales </t>
  </si>
  <si>
    <t xml:space="preserve">Less: COGS </t>
  </si>
  <si>
    <t xml:space="preserve">Gross profit </t>
  </si>
  <si>
    <t>Less: Operating expense</t>
  </si>
  <si>
    <t>Operating profit</t>
  </si>
  <si>
    <t xml:space="preserve">Plus: Other income </t>
  </si>
  <si>
    <t xml:space="preserve">Plus: Interest income </t>
  </si>
  <si>
    <t>Less: Interest expense</t>
  </si>
  <si>
    <t>Less: Contribution to WPPF</t>
  </si>
  <si>
    <t xml:space="preserve">EBT </t>
  </si>
  <si>
    <t>Less: Tax</t>
  </si>
  <si>
    <t xml:space="preserve">Net income </t>
  </si>
  <si>
    <t xml:space="preserve">Less: Dividend </t>
  </si>
  <si>
    <t xml:space="preserve">Transfer to the reserve </t>
  </si>
  <si>
    <t>Core operating profit</t>
  </si>
  <si>
    <t xml:space="preserve">Tax reported </t>
  </si>
  <si>
    <t xml:space="preserve">Tax rate </t>
  </si>
  <si>
    <t xml:space="preserve">Average rate rate </t>
  </si>
  <si>
    <t xml:space="preserve">After tax operating profit </t>
  </si>
  <si>
    <t>PPE</t>
  </si>
  <si>
    <t>Investment</t>
  </si>
  <si>
    <t xml:space="preserve">Other fixed asset </t>
  </si>
  <si>
    <t>Total fixed asset</t>
  </si>
  <si>
    <t>Inventory</t>
  </si>
  <si>
    <t>Accounts receivable</t>
  </si>
  <si>
    <t xml:space="preserve">Advance and prepayment </t>
  </si>
  <si>
    <t>Other asset 1</t>
  </si>
  <si>
    <t xml:space="preserve">Other asset 2 </t>
  </si>
  <si>
    <t xml:space="preserve">Cash </t>
  </si>
  <si>
    <t xml:space="preserve">Total curent asset </t>
  </si>
  <si>
    <t xml:space="preserve">Total asset </t>
  </si>
  <si>
    <t xml:space="preserve">Share capital </t>
  </si>
  <si>
    <t xml:space="preserve">Reserve &amp; Surplus </t>
  </si>
  <si>
    <t xml:space="preserve">Total equity </t>
  </si>
  <si>
    <t xml:space="preserve">Long-term loan </t>
  </si>
  <si>
    <t>Deferred 1</t>
  </si>
  <si>
    <t>Deferred 2</t>
  </si>
  <si>
    <t xml:space="preserve">Total long-term liability </t>
  </si>
  <si>
    <t xml:space="preserve">Short-term loan </t>
  </si>
  <si>
    <t xml:space="preserve">Current portion of LTD </t>
  </si>
  <si>
    <t xml:space="preserve">Accounts payable </t>
  </si>
  <si>
    <t>Accrued expenses</t>
  </si>
  <si>
    <t xml:space="preserve">Other liabilities </t>
  </si>
  <si>
    <t>Provision 1</t>
  </si>
  <si>
    <t>Provision 2</t>
  </si>
  <si>
    <t xml:space="preserve">Total current liability </t>
  </si>
  <si>
    <t xml:space="preserve">Total liabilities </t>
  </si>
  <si>
    <t xml:space="preserve">Total equity &amp; liabilities </t>
  </si>
  <si>
    <t xml:space="preserve">Tax on interest income </t>
  </si>
  <si>
    <t xml:space="preserve">Tax on interest expense </t>
  </si>
  <si>
    <t xml:space="preserve">Reformulation </t>
  </si>
  <si>
    <t>OA</t>
  </si>
  <si>
    <t>OL</t>
  </si>
  <si>
    <t>FA</t>
  </si>
  <si>
    <t>FL</t>
  </si>
  <si>
    <t>CSE</t>
  </si>
  <si>
    <t xml:space="preserve">OA - operating asset </t>
  </si>
  <si>
    <t xml:space="preserve">OL - operating liability </t>
  </si>
  <si>
    <t>NOA</t>
  </si>
  <si>
    <t>Change in NOA</t>
  </si>
  <si>
    <t xml:space="preserve">FA - financial asset </t>
  </si>
  <si>
    <t xml:space="preserve">FO - financial obligation </t>
  </si>
  <si>
    <t xml:space="preserve">NFO - net financial obligation </t>
  </si>
  <si>
    <t xml:space="preserve">CSE </t>
  </si>
  <si>
    <t xml:space="preserve">ATO </t>
  </si>
  <si>
    <t xml:space="preserve">Average ATO </t>
  </si>
  <si>
    <t xml:space="preserve">Time </t>
  </si>
  <si>
    <t>30/12/2010</t>
  </si>
  <si>
    <t>30/11/2010</t>
  </si>
  <si>
    <t>31/10/2010</t>
  </si>
  <si>
    <t>30/09/2010</t>
  </si>
  <si>
    <t>31/08/2010</t>
  </si>
  <si>
    <t>29/07/2010</t>
  </si>
  <si>
    <t>30/06/2010</t>
  </si>
  <si>
    <t>Monthly closing stock price</t>
  </si>
  <si>
    <t>Index</t>
  </si>
  <si>
    <t xml:space="preserve">Stock - return </t>
  </si>
  <si>
    <t xml:space="preserve">Index return </t>
  </si>
  <si>
    <t xml:space="preserve">Covariance </t>
  </si>
  <si>
    <t xml:space="preserve">Variance of market return </t>
  </si>
  <si>
    <t xml:space="preserve">Beta </t>
  </si>
  <si>
    <t xml:space="preserve">Market return </t>
  </si>
  <si>
    <t xml:space="preserve">Market return -yearly </t>
  </si>
  <si>
    <t xml:space="preserve">Risk-free rate </t>
  </si>
  <si>
    <t xml:space="preserve">Cost of equity </t>
  </si>
  <si>
    <t xml:space="preserve">Sales growth rate </t>
  </si>
  <si>
    <t xml:space="preserve">Average sales growth rate </t>
  </si>
  <si>
    <t xml:space="preserve">Particulars </t>
  </si>
  <si>
    <t xml:space="preserve">PM </t>
  </si>
  <si>
    <t xml:space="preserve">Operating income </t>
  </si>
  <si>
    <t xml:space="preserve">Cost of operation </t>
  </si>
  <si>
    <t xml:space="preserve">Benchmark operating income </t>
  </si>
  <si>
    <t>Residual operating income</t>
  </si>
  <si>
    <t xml:space="preserve">PV of discount factor </t>
  </si>
  <si>
    <t xml:space="preserve">Year </t>
  </si>
  <si>
    <t>PM ( Net profit margin)</t>
  </si>
  <si>
    <t xml:space="preserve">Benchmark  income </t>
  </si>
  <si>
    <t>Residual  income</t>
  </si>
  <si>
    <t xml:space="preserve">PV of terminal value </t>
  </si>
  <si>
    <t>Base value - Last year's NOA</t>
  </si>
  <si>
    <t xml:space="preserve">Equity value </t>
  </si>
  <si>
    <t>Historical - Year 1</t>
  </si>
  <si>
    <t>Historical - Year 2</t>
  </si>
  <si>
    <t>Historical - Year 3</t>
  </si>
  <si>
    <t>Historical - Year 4</t>
  </si>
  <si>
    <t>Historical - Year 5</t>
  </si>
  <si>
    <t xml:space="preserve">Projected Year 1 </t>
  </si>
  <si>
    <t>Projected Year 2</t>
  </si>
  <si>
    <t>Projected Year 3</t>
  </si>
  <si>
    <t>Projected Year 4</t>
  </si>
  <si>
    <t>Projected Year 5</t>
  </si>
  <si>
    <t xml:space="preserve">Terminal growth rate </t>
  </si>
  <si>
    <t xml:space="preserve">Continuing value </t>
  </si>
  <si>
    <t xml:space="preserve">PV of residual operating income </t>
  </si>
  <si>
    <t>Time 0</t>
  </si>
  <si>
    <t xml:space="preserve">Less - Book value of NFO </t>
  </si>
  <si>
    <t xml:space="preserve">Earnings </t>
  </si>
  <si>
    <t xml:space="preserve">Comments </t>
  </si>
  <si>
    <t>Working cash - OA, Non-working cash - FA</t>
  </si>
  <si>
    <t xml:space="preserve">A/R may encompass implicit market rate </t>
  </si>
  <si>
    <t xml:space="preserve">A/P may encompass implicit market rate </t>
  </si>
  <si>
    <t>May be rolled over</t>
  </si>
  <si>
    <t xml:space="preserve">Needs more explanation </t>
  </si>
  <si>
    <t>Assumed as a held-to-maturity security</t>
  </si>
  <si>
    <t xml:space="preserve">Blumes adjustment </t>
  </si>
  <si>
    <t xml:space="preserve">PV of residual  income </t>
  </si>
  <si>
    <t xml:space="preserve">Book value of equity - existing value </t>
  </si>
  <si>
    <t xml:space="preserve">Number of shares outstanding </t>
  </si>
  <si>
    <t xml:space="preserve">Time 0 </t>
  </si>
  <si>
    <t xml:space="preserve">Value per share </t>
  </si>
  <si>
    <t xml:space="preserve">NPM - net profit margin </t>
  </si>
  <si>
    <t>Average NPM</t>
  </si>
  <si>
    <t xml:space="preserve">Summation of PV of ROI </t>
  </si>
  <si>
    <t>DPR - dividend payout ratio</t>
  </si>
  <si>
    <t>DPR</t>
  </si>
  <si>
    <t>Average DPR</t>
  </si>
  <si>
    <t xml:space="preserve">Transfer to the equity </t>
  </si>
  <si>
    <t>Summation of PV of residual income</t>
  </si>
  <si>
    <t>Dividend</t>
  </si>
  <si>
    <t>PV of dividend</t>
  </si>
  <si>
    <t>Summation of PV of dividend</t>
  </si>
  <si>
    <t>Operting income</t>
  </si>
  <si>
    <t xml:space="preserve">FCF </t>
  </si>
  <si>
    <t xml:space="preserve">Total loan </t>
  </si>
  <si>
    <t xml:space="preserve">Average loan </t>
  </si>
  <si>
    <t xml:space="preserve">Interest rate </t>
  </si>
  <si>
    <t xml:space="preserve">Average intererst rate </t>
  </si>
  <si>
    <t xml:space="preserve">Market value of equity </t>
  </si>
  <si>
    <t xml:space="preserve">Market price </t>
  </si>
  <si>
    <t xml:space="preserve">Number  of shares </t>
  </si>
  <si>
    <t xml:space="preserve">Book/market value of debt </t>
  </si>
  <si>
    <t xml:space="preserve">Weight - equity </t>
  </si>
  <si>
    <t xml:space="preserve">Weight -debt  </t>
  </si>
  <si>
    <t xml:space="preserve">Cost of capital </t>
  </si>
  <si>
    <t xml:space="preserve">PV of FCF </t>
  </si>
  <si>
    <t xml:space="preserve">Enterprise value </t>
  </si>
  <si>
    <t xml:space="preserve">Summation of PV of FCF </t>
  </si>
  <si>
    <t xml:space="preserve">Operating profit </t>
  </si>
  <si>
    <t>Tax on operating profit</t>
  </si>
  <si>
    <t xml:space="preserve">PM - operating income </t>
  </si>
  <si>
    <t>Average PM - operating income</t>
  </si>
  <si>
    <t xml:space="preserve">Real economic growth </t>
  </si>
  <si>
    <t xml:space="preserve">Inflation expected </t>
  </si>
  <si>
    <t xml:space="preserve">Less: Interest bearing debt </t>
  </si>
  <si>
    <t xml:space="preserve">Cash dividend </t>
  </si>
  <si>
    <t xml:space="preserve">Bonus information </t>
  </si>
  <si>
    <t>Debt - equity ratio</t>
  </si>
  <si>
    <t>Average tax rate</t>
  </si>
  <si>
    <t xml:space="preserve">Cost of unlevered beta </t>
  </si>
  <si>
    <t>Beta of operating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</si>
</sst>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0.000"/>
    <numFmt numFmtId="166" formatCode="dd/mm/yyyy"/>
    <numFmt numFmtId="167" formatCode="dd/mm/\ yyyy"/>
    <numFmt numFmtId="168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color rgb="FF00B05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sz val="10"/>
      <name val="Tahoma"/>
      <family val="2"/>
    </font>
    <font>
      <sz val="10"/>
      <name val="Comic Sans MS"/>
      <family val="4"/>
    </font>
    <font>
      <b/>
      <sz val="11"/>
      <color rgb="FFFF000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008000"/>
      <name val="Arial"/>
      <family val="2"/>
    </font>
    <font>
      <b/>
      <sz val="11"/>
      <color rgb="FF008000"/>
      <name val="Calibri"/>
      <family val="2"/>
      <scheme val="minor"/>
    </font>
    <font>
      <b/>
      <sz val="11"/>
      <name val="Times New Roman"/>
    </font>
    <font>
      <b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9" fillId="0" borderId="0" xfId="2" applyNumberFormat="1" applyFont="1" applyAlignment="1">
      <alignment horizontal="center"/>
    </xf>
    <xf numFmtId="10" fontId="7" fillId="0" borderId="0" xfId="2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/>
    <xf numFmtId="43" fontId="12" fillId="0" borderId="1" xfId="1" applyFont="1" applyBorder="1" applyAlignment="1">
      <alignment horizontal="right"/>
    </xf>
    <xf numFmtId="43" fontId="12" fillId="0" borderId="1" xfId="1" applyFont="1" applyFill="1" applyBorder="1" applyAlignment="1">
      <alignment horizontal="right"/>
    </xf>
    <xf numFmtId="166" fontId="11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right"/>
    </xf>
    <xf numFmtId="43" fontId="8" fillId="0" borderId="1" xfId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3" fontId="13" fillId="0" borderId="1" xfId="1" applyFont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43" fontId="3" fillId="0" borderId="1" xfId="1" applyFont="1" applyFill="1" applyBorder="1" applyAlignment="1">
      <alignment horizontal="right"/>
    </xf>
    <xf numFmtId="43" fontId="13" fillId="0" borderId="1" xfId="1" applyFont="1" applyFill="1" applyBorder="1" applyAlignment="1">
      <alignment horizontal="right"/>
    </xf>
    <xf numFmtId="43" fontId="12" fillId="0" borderId="1" xfId="0" applyNumberFormat="1" applyFont="1" applyFill="1" applyBorder="1" applyAlignment="1">
      <alignment horizontal="right"/>
    </xf>
    <xf numFmtId="43" fontId="12" fillId="2" borderId="1" xfId="1" applyFont="1" applyFill="1" applyBorder="1" applyAlignment="1">
      <alignment horizontal="right"/>
    </xf>
    <xf numFmtId="10" fontId="6" fillId="0" borderId="0" xfId="2" applyNumberFormat="1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8" fontId="0" fillId="0" borderId="0" xfId="0" applyNumberFormat="1"/>
    <xf numFmtId="165" fontId="0" fillId="0" borderId="0" xfId="0" applyNumberFormat="1"/>
    <xf numFmtId="0" fontId="10" fillId="0" borderId="0" xfId="0" applyFont="1"/>
    <xf numFmtId="43" fontId="10" fillId="0" borderId="0" xfId="0" applyNumberFormat="1" applyFont="1"/>
    <xf numFmtId="0" fontId="7" fillId="0" borderId="0" xfId="0" applyFont="1"/>
    <xf numFmtId="43" fontId="7" fillId="0" borderId="0" xfId="0" applyNumberFormat="1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10" fontId="18" fillId="0" borderId="0" xfId="2" applyNumberFormat="1" applyFont="1"/>
    <xf numFmtId="0" fontId="18" fillId="0" borderId="0" xfId="0" applyFont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horizontal="left"/>
    </xf>
    <xf numFmtId="10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4" fontId="18" fillId="0" borderId="0" xfId="2" applyNumberFormat="1" applyFont="1"/>
    <xf numFmtId="0" fontId="0" fillId="0" borderId="0" xfId="0" applyNumberFormat="1" applyAlignment="1">
      <alignment horizontal="center"/>
    </xf>
    <xf numFmtId="10" fontId="0" fillId="0" borderId="0" xfId="2" applyNumberFormat="1" applyFont="1"/>
    <xf numFmtId="43" fontId="0" fillId="0" borderId="0" xfId="0" applyNumberFormat="1"/>
    <xf numFmtId="1" fontId="0" fillId="0" borderId="0" xfId="0" applyNumberFormat="1"/>
    <xf numFmtId="10" fontId="0" fillId="0" borderId="0" xfId="0" applyNumberFormat="1"/>
    <xf numFmtId="1" fontId="3" fillId="0" borderId="0" xfId="0" applyNumberFormat="1" applyFont="1" applyAlignment="1">
      <alignment horizontal="center"/>
    </xf>
    <xf numFmtId="43" fontId="12" fillId="0" borderId="0" xfId="1" applyFont="1" applyFill="1" applyBorder="1" applyAlignment="1">
      <alignment horizontal="right"/>
    </xf>
    <xf numFmtId="43" fontId="12" fillId="0" borderId="0" xfId="1" applyFont="1" applyBorder="1" applyAlignment="1">
      <alignment horizontal="right"/>
    </xf>
    <xf numFmtId="0" fontId="12" fillId="0" borderId="0" xfId="1" applyNumberFormat="1" applyFont="1" applyFill="1" applyBorder="1" applyAlignment="1">
      <alignment horizontal="right"/>
    </xf>
    <xf numFmtId="0" fontId="13" fillId="0" borderId="0" xfId="1" applyNumberFormat="1" applyFont="1" applyBorder="1" applyAlignment="1">
      <alignment horizontal="right"/>
    </xf>
    <xf numFmtId="0" fontId="12" fillId="0" borderId="0" xfId="1" applyNumberFormat="1" applyFont="1" applyBorder="1" applyAlignment="1">
      <alignment horizontal="right"/>
    </xf>
    <xf numFmtId="164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/>
    <xf numFmtId="43" fontId="20" fillId="0" borderId="0" xfId="0" applyNumberFormat="1" applyFont="1"/>
    <xf numFmtId="0" fontId="2" fillId="0" borderId="0" xfId="0" applyFont="1"/>
    <xf numFmtId="10" fontId="2" fillId="0" borderId="0" xfId="2" applyNumberFormat="1" applyFont="1"/>
    <xf numFmtId="164" fontId="2" fillId="0" borderId="0" xfId="2" applyNumberFormat="1" applyFont="1"/>
  </cellXfs>
  <cellStyles count="4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G38" sqref="G38"/>
    </sheetView>
  </sheetViews>
  <sheetFormatPr baseColWidth="10" defaultColWidth="8.83203125" defaultRowHeight="14" x14ac:dyDescent="0"/>
  <cols>
    <col min="1" max="1" width="25.6640625" customWidth="1"/>
    <col min="2" max="2" width="15.6640625" customWidth="1"/>
    <col min="3" max="3" width="16" customWidth="1"/>
    <col min="4" max="5" width="15.33203125" customWidth="1"/>
    <col min="6" max="6" width="15.6640625" customWidth="1"/>
  </cols>
  <sheetData>
    <row r="1" spans="1:6">
      <c r="A1" s="2" t="s">
        <v>0</v>
      </c>
      <c r="B1" s="2" t="s">
        <v>102</v>
      </c>
      <c r="C1" s="2" t="s">
        <v>103</v>
      </c>
      <c r="D1" s="2" t="s">
        <v>104</v>
      </c>
      <c r="E1" s="2" t="s">
        <v>105</v>
      </c>
      <c r="F1" s="2" t="s">
        <v>106</v>
      </c>
    </row>
    <row r="2" spans="1:6">
      <c r="A2" s="3" t="s">
        <v>1</v>
      </c>
      <c r="B2" s="1">
        <v>317293796</v>
      </c>
      <c r="C2" s="1">
        <v>351224428</v>
      </c>
      <c r="D2" s="1">
        <v>537971989</v>
      </c>
      <c r="E2" s="1">
        <v>615330715</v>
      </c>
      <c r="F2" s="1">
        <v>622571342</v>
      </c>
    </row>
    <row r="3" spans="1:6">
      <c r="A3" s="4" t="s">
        <v>2</v>
      </c>
      <c r="B3" s="39">
        <v>239488002</v>
      </c>
      <c r="C3" s="39">
        <v>269673407</v>
      </c>
      <c r="D3" s="39">
        <v>429824201</v>
      </c>
      <c r="E3" s="39">
        <v>502808649</v>
      </c>
      <c r="F3" s="39">
        <v>476340355</v>
      </c>
    </row>
    <row r="4" spans="1:6">
      <c r="A4" s="4" t="s">
        <v>3</v>
      </c>
      <c r="B4" s="39">
        <f>B2-B3</f>
        <v>77805794</v>
      </c>
      <c r="C4" s="39">
        <f>C2-C3</f>
        <v>81551021</v>
      </c>
      <c r="D4" s="39">
        <f>D2-D3</f>
        <v>108147788</v>
      </c>
      <c r="E4" s="39">
        <f>E2-E3</f>
        <v>112522066</v>
      </c>
      <c r="F4" s="39">
        <f>F2-F3</f>
        <v>146230987</v>
      </c>
    </row>
    <row r="5" spans="1:6">
      <c r="A5" s="4" t="s">
        <v>4</v>
      </c>
      <c r="B5" s="39">
        <v>18532365</v>
      </c>
      <c r="C5" s="39">
        <v>19884118</v>
      </c>
      <c r="D5" s="39">
        <v>28009440</v>
      </c>
      <c r="E5" s="39">
        <v>29791885</v>
      </c>
      <c r="F5" s="39">
        <v>65098163</v>
      </c>
    </row>
    <row r="6" spans="1:6">
      <c r="A6" s="4" t="s">
        <v>5</v>
      </c>
      <c r="B6" s="39">
        <f>B4-B5</f>
        <v>59273429</v>
      </c>
      <c r="C6" s="39">
        <f>C4-C5</f>
        <v>61666903</v>
      </c>
      <c r="D6" s="39">
        <f>D4-D5</f>
        <v>80138348</v>
      </c>
      <c r="E6" s="39">
        <f>E4-E5</f>
        <v>82730181</v>
      </c>
      <c r="F6" s="39">
        <f>F4-F5</f>
        <v>81132824</v>
      </c>
    </row>
    <row r="7" spans="1:6">
      <c r="A7" s="4" t="s">
        <v>6</v>
      </c>
      <c r="B7" s="39">
        <v>9350369</v>
      </c>
      <c r="C7" s="39">
        <v>7948142</v>
      </c>
      <c r="D7" s="39">
        <v>7643000</v>
      </c>
      <c r="E7" s="39">
        <v>11093380</v>
      </c>
      <c r="F7" s="39">
        <v>12305433</v>
      </c>
    </row>
    <row r="8" spans="1:6">
      <c r="A8" s="4" t="s">
        <v>7</v>
      </c>
      <c r="B8" s="39">
        <v>18343691</v>
      </c>
      <c r="C8" s="39">
        <v>20871759</v>
      </c>
      <c r="D8" s="39">
        <v>18132099</v>
      </c>
      <c r="E8" s="39">
        <v>21650392</v>
      </c>
      <c r="F8" s="39">
        <v>20626830</v>
      </c>
    </row>
    <row r="9" spans="1:6">
      <c r="A9" s="4" t="s">
        <v>8</v>
      </c>
      <c r="B9" s="39">
        <v>31111827</v>
      </c>
      <c r="C9" s="39">
        <v>34253260</v>
      </c>
      <c r="D9" s="39">
        <v>30787024</v>
      </c>
      <c r="E9" s="39">
        <v>33567694</v>
      </c>
      <c r="F9" s="39">
        <v>28339696</v>
      </c>
    </row>
    <row r="10" spans="1:6">
      <c r="A10" s="4" t="s">
        <v>9</v>
      </c>
      <c r="B10" s="39">
        <v>2659793</v>
      </c>
      <c r="C10" s="39">
        <v>2677788</v>
      </c>
      <c r="D10" s="39">
        <v>3577449</v>
      </c>
      <c r="E10" s="39">
        <v>3900298</v>
      </c>
      <c r="F10" s="39">
        <v>4082161</v>
      </c>
    </row>
    <row r="11" spans="1:6">
      <c r="A11" s="4" t="s">
        <v>10</v>
      </c>
      <c r="B11" s="39">
        <f>B6+B7+B8-B9-B10</f>
        <v>53195869</v>
      </c>
      <c r="C11" s="39">
        <f>C6+C7+C8-C9-C10</f>
        <v>53555756</v>
      </c>
      <c r="D11" s="39">
        <f>D6+D7+D8-D9-D10</f>
        <v>71548974</v>
      </c>
      <c r="E11" s="39">
        <f>E6+E7+E8-E9-E10</f>
        <v>78005961</v>
      </c>
      <c r="F11" s="39">
        <f>F6+F7+F8-F9-F10</f>
        <v>81643230</v>
      </c>
    </row>
    <row r="12" spans="1:6">
      <c r="A12" s="4" t="s">
        <v>11</v>
      </c>
      <c r="B12" s="39">
        <v>19065917</v>
      </c>
      <c r="C12" s="39">
        <v>18187710</v>
      </c>
      <c r="D12" s="39">
        <v>16229825</v>
      </c>
      <c r="E12" s="39">
        <v>19497071</v>
      </c>
      <c r="F12" s="39">
        <v>19893588</v>
      </c>
    </row>
    <row r="13" spans="1:6">
      <c r="A13" s="4" t="s">
        <v>12</v>
      </c>
      <c r="B13" s="39">
        <f>B11-B12</f>
        <v>34129952</v>
      </c>
      <c r="C13" s="39">
        <f>C11-C12</f>
        <v>35368046</v>
      </c>
      <c r="D13" s="39">
        <f>D11-D12</f>
        <v>55319149</v>
      </c>
      <c r="E13" s="39">
        <f>E11-E12</f>
        <v>58508890</v>
      </c>
      <c r="F13" s="39">
        <f>F11-F12</f>
        <v>61749642</v>
      </c>
    </row>
    <row r="14" spans="1:6">
      <c r="A14" s="4" t="s">
        <v>13</v>
      </c>
      <c r="B14" s="39">
        <v>19988456</v>
      </c>
      <c r="C14" s="39">
        <v>11079769</v>
      </c>
      <c r="D14" s="39">
        <v>20945349</v>
      </c>
      <c r="E14" s="39">
        <v>33572839</v>
      </c>
      <c r="F14" s="39">
        <v>34615086</v>
      </c>
    </row>
    <row r="15" spans="1:6">
      <c r="A15" s="4" t="s">
        <v>14</v>
      </c>
      <c r="B15" s="39">
        <f>B13-B14</f>
        <v>14141496</v>
      </c>
      <c r="C15" s="39">
        <f>C13-C14</f>
        <v>24288277</v>
      </c>
      <c r="D15" s="39">
        <f>D13-D14</f>
        <v>34373800</v>
      </c>
      <c r="E15" s="39">
        <f>E13-E14</f>
        <v>24936051</v>
      </c>
      <c r="F15" s="39">
        <f>F13-F14</f>
        <v>27134556</v>
      </c>
    </row>
    <row r="19" spans="1:6">
      <c r="A19" s="13" t="s">
        <v>86</v>
      </c>
      <c r="B19" s="13"/>
      <c r="C19" s="29">
        <f>(C2-B2)/B2</f>
        <v>0.10693758411841119</v>
      </c>
      <c r="D19" s="29">
        <f t="shared" ref="D19:F19" si="0">(D2-C2)/C2</f>
        <v>0.53170436368395191</v>
      </c>
      <c r="E19" s="29">
        <f t="shared" si="0"/>
        <v>0.14379694032731508</v>
      </c>
      <c r="F19" s="29">
        <f t="shared" si="0"/>
        <v>1.176704952880501E-2</v>
      </c>
    </row>
    <row r="20" spans="1:6">
      <c r="A20" s="13" t="s">
        <v>87</v>
      </c>
      <c r="B20" s="13"/>
      <c r="C20" s="29"/>
      <c r="D20" s="29"/>
      <c r="E20" s="29"/>
      <c r="F20" s="29">
        <f>AVERAGE(C19:F19)</f>
        <v>0.19855148441462078</v>
      </c>
    </row>
    <row r="23" spans="1:6">
      <c r="A23" s="44" t="s">
        <v>135</v>
      </c>
      <c r="B23" s="51">
        <f>B14/B13</f>
        <v>0.58565731355262385</v>
      </c>
      <c r="C23" s="51">
        <f t="shared" ref="C23:F23" si="1">C14/C13</f>
        <v>0.31327060024746634</v>
      </c>
      <c r="D23" s="51">
        <f t="shared" si="1"/>
        <v>0.37862746225542987</v>
      </c>
      <c r="E23" s="51">
        <f t="shared" si="1"/>
        <v>0.57380748464036835</v>
      </c>
      <c r="F23" s="51">
        <f t="shared" si="1"/>
        <v>0.56057144428464867</v>
      </c>
    </row>
    <row r="24" spans="1:6">
      <c r="A24" s="44" t="s">
        <v>136</v>
      </c>
      <c r="B24" s="51"/>
      <c r="C24" s="51"/>
      <c r="D24" s="51"/>
      <c r="E24" s="51"/>
      <c r="F24" s="51">
        <f>AVERAGE(B23:F23)</f>
        <v>0.48238686099610739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9" sqref="B9"/>
    </sheetView>
  </sheetViews>
  <sheetFormatPr baseColWidth="10" defaultColWidth="8.83203125" defaultRowHeight="14" x14ac:dyDescent="0"/>
  <cols>
    <col min="1" max="1" width="30.6640625" customWidth="1"/>
    <col min="2" max="2" width="15.5" customWidth="1"/>
    <col min="3" max="3" width="14.83203125" customWidth="1"/>
    <col min="4" max="4" width="16.33203125" customWidth="1"/>
    <col min="5" max="5" width="14.1640625" customWidth="1"/>
    <col min="6" max="6" width="16" customWidth="1"/>
  </cols>
  <sheetData>
    <row r="1" spans="1:6">
      <c r="A1" s="2" t="s">
        <v>0</v>
      </c>
      <c r="B1" s="2" t="s">
        <v>102</v>
      </c>
      <c r="C1" s="2" t="s">
        <v>103</v>
      </c>
      <c r="D1" s="2" t="s">
        <v>104</v>
      </c>
      <c r="E1" s="2" t="s">
        <v>105</v>
      </c>
      <c r="F1" s="2" t="s">
        <v>106</v>
      </c>
    </row>
    <row r="2" spans="1:6">
      <c r="A2" s="3" t="s">
        <v>1</v>
      </c>
      <c r="B2" s="6">
        <v>317293796</v>
      </c>
      <c r="C2" s="6">
        <v>351224428</v>
      </c>
      <c r="D2" s="6">
        <v>537971989</v>
      </c>
      <c r="E2" s="6">
        <v>615330715</v>
      </c>
      <c r="F2" s="6">
        <v>622571342</v>
      </c>
    </row>
    <row r="3" spans="1:6">
      <c r="A3" s="4" t="s">
        <v>2</v>
      </c>
      <c r="B3" s="10">
        <v>239488002</v>
      </c>
      <c r="C3" s="10">
        <v>269673407</v>
      </c>
      <c r="D3" s="10">
        <v>429824201</v>
      </c>
      <c r="E3" s="10">
        <v>502808649</v>
      </c>
      <c r="F3" s="10">
        <v>476340355</v>
      </c>
    </row>
    <row r="4" spans="1:6">
      <c r="A4" s="4" t="s">
        <v>3</v>
      </c>
      <c r="B4" s="10">
        <f>B2-B3</f>
        <v>77805794</v>
      </c>
      <c r="C4" s="10">
        <f>C2-C3</f>
        <v>81551021</v>
      </c>
      <c r="D4" s="10">
        <f>D2-D3</f>
        <v>108147788</v>
      </c>
      <c r="E4" s="10">
        <f>E2-E3</f>
        <v>112522066</v>
      </c>
      <c r="F4" s="10">
        <f>F2-F3</f>
        <v>146230987</v>
      </c>
    </row>
    <row r="5" spans="1:6">
      <c r="A5" s="4" t="s">
        <v>4</v>
      </c>
      <c r="B5" s="10">
        <v>18532365</v>
      </c>
      <c r="C5" s="10">
        <v>19884118</v>
      </c>
      <c r="D5" s="10">
        <v>28009440</v>
      </c>
      <c r="E5" s="10">
        <v>29791885</v>
      </c>
      <c r="F5" s="10">
        <v>65098163</v>
      </c>
    </row>
    <row r="6" spans="1:6">
      <c r="A6" s="4" t="s">
        <v>15</v>
      </c>
      <c r="B6" s="10">
        <f>B4-B5</f>
        <v>59273429</v>
      </c>
      <c r="C6" s="10">
        <f>C4-C5</f>
        <v>61666903</v>
      </c>
      <c r="D6" s="10">
        <f>D4-D5</f>
        <v>80138348</v>
      </c>
      <c r="E6" s="10">
        <f>E4-E5</f>
        <v>82730181</v>
      </c>
      <c r="F6" s="10">
        <f>F4-F5</f>
        <v>81132824</v>
      </c>
    </row>
    <row r="7" spans="1:6">
      <c r="A7" s="4" t="s">
        <v>6</v>
      </c>
      <c r="B7" s="39">
        <v>9350369</v>
      </c>
      <c r="C7" s="39">
        <v>7948142</v>
      </c>
      <c r="D7" s="39">
        <v>7643000</v>
      </c>
      <c r="E7" s="39">
        <v>11093380</v>
      </c>
      <c r="F7" s="39">
        <v>12305433</v>
      </c>
    </row>
    <row r="8" spans="1:6">
      <c r="A8" s="4" t="s">
        <v>9</v>
      </c>
      <c r="B8" s="39">
        <v>2659793</v>
      </c>
      <c r="C8" s="39">
        <v>2677788</v>
      </c>
      <c r="D8" s="39">
        <v>3577449</v>
      </c>
      <c r="E8" s="39">
        <v>3900298</v>
      </c>
      <c r="F8" s="39">
        <v>4082161</v>
      </c>
    </row>
    <row r="9" spans="1:6">
      <c r="A9" s="4" t="s">
        <v>158</v>
      </c>
      <c r="B9" s="57">
        <f>B6+B7-B8</f>
        <v>65964005</v>
      </c>
      <c r="C9" s="57">
        <f t="shared" ref="C9:F9" si="0">C6+C7-C8</f>
        <v>66937257</v>
      </c>
      <c r="D9" s="57">
        <f t="shared" si="0"/>
        <v>84203899</v>
      </c>
      <c r="E9" s="57">
        <f t="shared" si="0"/>
        <v>89923263</v>
      </c>
      <c r="F9" s="57">
        <f t="shared" si="0"/>
        <v>89356096</v>
      </c>
    </row>
    <row r="10" spans="1:6">
      <c r="A10" s="4" t="s">
        <v>16</v>
      </c>
      <c r="B10" s="10">
        <v>19065917</v>
      </c>
      <c r="C10" s="10">
        <v>18187710</v>
      </c>
      <c r="D10" s="10">
        <v>16229825</v>
      </c>
      <c r="E10" s="10">
        <v>19497071</v>
      </c>
      <c r="F10" s="10">
        <v>19893588</v>
      </c>
    </row>
    <row r="11" spans="1:6">
      <c r="A11" s="4" t="s">
        <v>49</v>
      </c>
      <c r="B11" s="6">
        <f>IS!B8*'PM calculation'!B19</f>
        <v>6574557.3228561599</v>
      </c>
      <c r="C11" s="6">
        <f>IS!C8*'PM calculation'!C19</f>
        <v>7088117.6596945059</v>
      </c>
      <c r="D11" s="6">
        <f>IS!D8*'PM calculation'!D19</f>
        <v>4112998.0934831435</v>
      </c>
      <c r="E11" s="6">
        <f>IS!E8*'PM calculation'!E19</f>
        <v>5411371.4463671818</v>
      </c>
      <c r="F11" s="6">
        <f>IS!F8*'PM calculation'!F19</f>
        <v>5026034.0969611323</v>
      </c>
    </row>
    <row r="12" spans="1:6">
      <c r="A12" s="4" t="s">
        <v>50</v>
      </c>
      <c r="B12" s="6">
        <f>IS!B9*'PM calculation'!B19</f>
        <v>11150781.488321189</v>
      </c>
      <c r="C12" s="6">
        <f>IS!C9*'PM calculation'!C19</f>
        <v>11632519.190553486</v>
      </c>
      <c r="D12" s="6">
        <f>IS!D9*'PM calculation'!D19</f>
        <v>6983580.3905559853</v>
      </c>
      <c r="E12" s="6">
        <f>IS!E9*'PM calculation'!E19</f>
        <v>8390021.7987734806</v>
      </c>
      <c r="F12" s="6">
        <f>IS!F9*'PM calculation'!F19</f>
        <v>6905388.6803504471</v>
      </c>
    </row>
    <row r="13" spans="1:6">
      <c r="A13" s="4" t="s">
        <v>159</v>
      </c>
      <c r="B13" s="6">
        <f>B10-B11+B12</f>
        <v>23642141.165465027</v>
      </c>
      <c r="C13" s="6">
        <f t="shared" ref="C13:F13" si="1">C10-C11+C12</f>
        <v>22732111.530858979</v>
      </c>
      <c r="D13" s="6">
        <f t="shared" si="1"/>
        <v>19100407.297072843</v>
      </c>
      <c r="E13" s="6">
        <f t="shared" si="1"/>
        <v>22475721.352406301</v>
      </c>
      <c r="F13" s="6">
        <f t="shared" si="1"/>
        <v>21772942.583389312</v>
      </c>
    </row>
    <row r="14" spans="1:6">
      <c r="A14" s="4" t="s">
        <v>19</v>
      </c>
      <c r="B14" s="6">
        <f>B9-B13</f>
        <v>42321863.834534973</v>
      </c>
      <c r="C14" s="6">
        <f t="shared" ref="C14:F14" si="2">C9-C13</f>
        <v>44205145.469141021</v>
      </c>
      <c r="D14" s="6">
        <f t="shared" si="2"/>
        <v>65103491.702927157</v>
      </c>
      <c r="E14" s="6">
        <f t="shared" si="2"/>
        <v>67447541.647593707</v>
      </c>
      <c r="F14" s="6">
        <f t="shared" si="2"/>
        <v>67583153.416610688</v>
      </c>
    </row>
    <row r="15" spans="1:6">
      <c r="B15" s="7"/>
      <c r="C15" s="7"/>
      <c r="D15" s="7"/>
      <c r="E15" s="7"/>
      <c r="F15" s="7"/>
    </row>
    <row r="16" spans="1:6">
      <c r="A16" s="5" t="s">
        <v>160</v>
      </c>
      <c r="B16" s="8">
        <f>B14/B2</f>
        <v>0.1333838365832245</v>
      </c>
      <c r="C16" s="8">
        <f t="shared" ref="C16:F16" si="3">C14/C2</f>
        <v>0.12586011092924612</v>
      </c>
      <c r="D16" s="8">
        <f t="shared" si="3"/>
        <v>0.12101650835751443</v>
      </c>
      <c r="E16" s="8">
        <f t="shared" si="3"/>
        <v>0.10961185587427358</v>
      </c>
      <c r="F16" s="8">
        <f t="shared" si="3"/>
        <v>0.10855487372660126</v>
      </c>
    </row>
    <row r="17" spans="1:6">
      <c r="A17" s="5" t="s">
        <v>161</v>
      </c>
      <c r="B17" s="8"/>
      <c r="C17" s="8"/>
      <c r="D17" s="8"/>
      <c r="E17" s="8"/>
      <c r="F17" s="8">
        <f>AVERAGE(B16:F16)</f>
        <v>0.11968543709417197</v>
      </c>
    </row>
    <row r="18" spans="1:6">
      <c r="B18" s="7"/>
      <c r="C18" s="7"/>
      <c r="D18" s="7"/>
      <c r="E18" s="7"/>
      <c r="F18" s="7"/>
    </row>
    <row r="19" spans="1:6">
      <c r="A19" t="s">
        <v>17</v>
      </c>
      <c r="B19" s="9">
        <f>IS!B12/IS!B11</f>
        <v>0.35840972914644931</v>
      </c>
      <c r="C19" s="9">
        <f>IS!C12/IS!C11</f>
        <v>0.33960327252219163</v>
      </c>
      <c r="D19" s="9">
        <f>IS!D12/IS!D11</f>
        <v>0.22683518844029826</v>
      </c>
      <c r="E19" s="9">
        <f>IS!E12/IS!E11</f>
        <v>0.24994334727829326</v>
      </c>
      <c r="F19" s="9">
        <f>IS!F12/IS!F11</f>
        <v>0.24366488195040789</v>
      </c>
    </row>
    <row r="20" spans="1:6">
      <c r="A20" t="s">
        <v>18</v>
      </c>
      <c r="B20" s="9"/>
      <c r="C20" s="9"/>
      <c r="D20" s="9"/>
      <c r="E20" s="9"/>
      <c r="F20" s="9">
        <f>AVERAGE(B19:F19)</f>
        <v>0.28369128386752807</v>
      </c>
    </row>
    <row r="23" spans="1:6">
      <c r="A23" s="42" t="s">
        <v>131</v>
      </c>
      <c r="B23" s="43">
        <f>IS!B13/IS!B2</f>
        <v>0.10756577162952155</v>
      </c>
      <c r="C23" s="43">
        <f>IS!C13/IS!C2</f>
        <v>0.10069927710153463</v>
      </c>
      <c r="D23" s="43">
        <f>IS!D13/IS!D2</f>
        <v>0.10282905082628754</v>
      </c>
      <c r="E23" s="43">
        <f>IS!E13/IS!E2</f>
        <v>9.5085274590916535E-2</v>
      </c>
      <c r="F23" s="43">
        <f>IS!F13/IS!F2</f>
        <v>9.9184844907300604E-2</v>
      </c>
    </row>
    <row r="24" spans="1:6">
      <c r="A24" s="44" t="s">
        <v>132</v>
      </c>
      <c r="B24" s="43"/>
      <c r="C24" s="43"/>
      <c r="D24" s="43"/>
      <c r="E24" s="43"/>
      <c r="F24" s="43">
        <f>AVERAGE(B23:F23)</f>
        <v>0.10107284381111217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H34" sqref="H34"/>
    </sheetView>
  </sheetViews>
  <sheetFormatPr baseColWidth="10" defaultColWidth="8.83203125" defaultRowHeight="14" x14ac:dyDescent="0"/>
  <cols>
    <col min="1" max="1" width="24.5" customWidth="1"/>
    <col min="2" max="2" width="18.33203125" customWidth="1"/>
    <col min="3" max="3" width="16.6640625" customWidth="1"/>
    <col min="4" max="4" width="15.33203125" customWidth="1"/>
    <col min="5" max="5" width="15.5" customWidth="1"/>
    <col min="6" max="6" width="15.33203125" customWidth="1"/>
    <col min="7" max="7" width="14.6640625" customWidth="1"/>
    <col min="8" max="8" width="32.5" customWidth="1"/>
  </cols>
  <sheetData>
    <row r="1" spans="1:8">
      <c r="A1" s="2" t="s">
        <v>0</v>
      </c>
      <c r="B1" s="2" t="s">
        <v>102</v>
      </c>
      <c r="C1" s="2" t="s">
        <v>103</v>
      </c>
      <c r="D1" s="2" t="s">
        <v>104</v>
      </c>
      <c r="E1" s="2" t="s">
        <v>105</v>
      </c>
      <c r="F1" s="2" t="s">
        <v>106</v>
      </c>
      <c r="G1" s="2" t="s">
        <v>51</v>
      </c>
      <c r="H1" s="2" t="s">
        <v>118</v>
      </c>
    </row>
    <row r="2" spans="1:8">
      <c r="A2" s="3" t="s">
        <v>20</v>
      </c>
      <c r="B2" s="1">
        <v>150075514</v>
      </c>
      <c r="C2" s="1">
        <v>135067026</v>
      </c>
      <c r="D2" s="1">
        <v>123775188</v>
      </c>
      <c r="E2" s="1">
        <v>106946118</v>
      </c>
      <c r="F2" s="1">
        <v>102652877</v>
      </c>
      <c r="G2" s="1" t="s">
        <v>52</v>
      </c>
    </row>
    <row r="3" spans="1:8">
      <c r="A3" s="3" t="s">
        <v>21</v>
      </c>
      <c r="B3" s="1">
        <v>33617998</v>
      </c>
      <c r="C3" s="1">
        <v>33617998</v>
      </c>
      <c r="D3" s="1">
        <v>38250523</v>
      </c>
      <c r="E3" s="1">
        <v>465359757</v>
      </c>
      <c r="F3" s="1">
        <v>820052329</v>
      </c>
      <c r="G3" s="1" t="s">
        <v>54</v>
      </c>
      <c r="H3" t="s">
        <v>124</v>
      </c>
    </row>
    <row r="4" spans="1:8">
      <c r="A4" s="4" t="s">
        <v>22</v>
      </c>
      <c r="B4" s="1">
        <v>1940577</v>
      </c>
      <c r="C4" s="1">
        <v>1772146</v>
      </c>
      <c r="D4" s="1">
        <v>2076789</v>
      </c>
      <c r="E4" s="1">
        <v>2358469</v>
      </c>
      <c r="F4" s="1">
        <v>23452958</v>
      </c>
      <c r="G4" s="1" t="s">
        <v>52</v>
      </c>
    </row>
    <row r="5" spans="1:8">
      <c r="A5" s="12" t="s">
        <v>23</v>
      </c>
      <c r="B5" s="11">
        <f>B2+B3+B4</f>
        <v>185634089</v>
      </c>
      <c r="C5" s="11">
        <f>C2+C3+C4</f>
        <v>170457170</v>
      </c>
      <c r="D5" s="11">
        <f>SUM(D2:D4)</f>
        <v>164102500</v>
      </c>
      <c r="E5" s="11">
        <f>E2+E3+E4</f>
        <v>574664344</v>
      </c>
      <c r="F5" s="11">
        <f>F2+F3+F4</f>
        <v>946158164</v>
      </c>
      <c r="G5" s="1"/>
    </row>
    <row r="6" spans="1:8">
      <c r="A6" s="3" t="s">
        <v>24</v>
      </c>
      <c r="B6" s="1">
        <v>62024184</v>
      </c>
      <c r="C6" s="1">
        <v>65542150</v>
      </c>
      <c r="D6" s="1">
        <v>93553486</v>
      </c>
      <c r="E6" s="1">
        <v>127990769</v>
      </c>
      <c r="F6" s="1">
        <v>128611091</v>
      </c>
      <c r="G6" s="1" t="s">
        <v>52</v>
      </c>
    </row>
    <row r="7" spans="1:8">
      <c r="A7" s="3" t="s">
        <v>25</v>
      </c>
      <c r="B7" s="1">
        <v>234984480</v>
      </c>
      <c r="C7" s="1">
        <v>225362699</v>
      </c>
      <c r="D7" s="1">
        <v>278058033</v>
      </c>
      <c r="E7" s="1">
        <v>253086921</v>
      </c>
      <c r="F7" s="1">
        <v>236000082</v>
      </c>
      <c r="G7" s="1" t="s">
        <v>52</v>
      </c>
      <c r="H7" t="s">
        <v>120</v>
      </c>
    </row>
    <row r="8" spans="1:8">
      <c r="A8" s="3" t="s">
        <v>26</v>
      </c>
      <c r="B8" s="1">
        <v>3505365</v>
      </c>
      <c r="C8" s="1">
        <v>4324501</v>
      </c>
      <c r="D8" s="1">
        <v>4985502</v>
      </c>
      <c r="E8" s="1">
        <v>4999566</v>
      </c>
      <c r="F8" s="1">
        <v>8971248</v>
      </c>
      <c r="G8" s="1" t="s">
        <v>52</v>
      </c>
    </row>
    <row r="9" spans="1:8">
      <c r="A9" s="3" t="s">
        <v>27</v>
      </c>
      <c r="B9" s="1">
        <v>38395664</v>
      </c>
      <c r="C9" s="1">
        <v>40143461</v>
      </c>
      <c r="D9" s="1">
        <v>41570612</v>
      </c>
      <c r="E9" s="1">
        <v>25757285</v>
      </c>
      <c r="F9" s="1">
        <v>48444611</v>
      </c>
      <c r="G9" s="30" t="s">
        <v>52</v>
      </c>
      <c r="H9" t="s">
        <v>123</v>
      </c>
    </row>
    <row r="10" spans="1:8">
      <c r="A10" s="3" t="s">
        <v>28</v>
      </c>
      <c r="B10" s="1">
        <v>115000000</v>
      </c>
      <c r="C10" s="1">
        <v>80000000</v>
      </c>
      <c r="D10" s="1">
        <v>0</v>
      </c>
      <c r="E10" s="1">
        <v>0</v>
      </c>
      <c r="F10" s="1">
        <v>0</v>
      </c>
      <c r="G10" s="30" t="s">
        <v>52</v>
      </c>
      <c r="H10" t="s">
        <v>123</v>
      </c>
    </row>
    <row r="11" spans="1:8">
      <c r="A11" s="3" t="s">
        <v>29</v>
      </c>
      <c r="B11" s="1">
        <v>101016</v>
      </c>
      <c r="C11" s="1">
        <v>131156</v>
      </c>
      <c r="D11" s="1">
        <v>130136651</v>
      </c>
      <c r="E11" s="1">
        <v>89925773</v>
      </c>
      <c r="F11" s="1">
        <v>157370127</v>
      </c>
      <c r="G11" s="1" t="s">
        <v>52</v>
      </c>
      <c r="H11" t="s">
        <v>119</v>
      </c>
    </row>
    <row r="12" spans="1:8">
      <c r="A12" s="12" t="s">
        <v>30</v>
      </c>
      <c r="B12" s="11">
        <f>B6+B7+B8+B9+B10+B11</f>
        <v>454010709</v>
      </c>
      <c r="C12" s="11">
        <f>C6+C7+C8+C9+C10+C11</f>
        <v>415503967</v>
      </c>
      <c r="D12" s="11">
        <f>D6+D7+D8+D9+D11+D10</f>
        <v>548304284</v>
      </c>
      <c r="E12" s="11">
        <f>E6+E7+E8+E9+E10+E11</f>
        <v>501760314</v>
      </c>
      <c r="F12" s="11">
        <f>F6+F7+F8+F9+F10+F11</f>
        <v>579397159</v>
      </c>
      <c r="G12" s="1"/>
    </row>
    <row r="13" spans="1:8">
      <c r="A13" s="12" t="s">
        <v>31</v>
      </c>
      <c r="B13" s="11">
        <f>B12+B5</f>
        <v>639644798</v>
      </c>
      <c r="C13" s="11">
        <f>C12+C5</f>
        <v>585961137</v>
      </c>
      <c r="D13" s="11">
        <f>D12+D5</f>
        <v>712406784</v>
      </c>
      <c r="E13" s="11">
        <f>E12+E5</f>
        <v>1076424658</v>
      </c>
      <c r="F13" s="11">
        <f>F12+F5</f>
        <v>1525555323</v>
      </c>
      <c r="G13" s="1"/>
    </row>
    <row r="14" spans="1:8">
      <c r="A14" s="3"/>
      <c r="B14" s="1"/>
      <c r="C14" s="1"/>
      <c r="D14" s="1"/>
      <c r="E14" s="1"/>
      <c r="F14" s="1"/>
      <c r="G14" s="1"/>
    </row>
    <row r="15" spans="1:8">
      <c r="A15" s="3" t="s">
        <v>32</v>
      </c>
      <c r="B15" s="1">
        <v>72081600</v>
      </c>
      <c r="C15" s="1">
        <v>72081600</v>
      </c>
      <c r="D15" s="1">
        <v>72081600</v>
      </c>
      <c r="E15" s="1">
        <v>72081600</v>
      </c>
      <c r="F15" s="1">
        <v>72081600</v>
      </c>
      <c r="G15" s="1" t="s">
        <v>56</v>
      </c>
    </row>
    <row r="16" spans="1:8">
      <c r="A16" s="3" t="s">
        <v>33</v>
      </c>
      <c r="B16" s="1">
        <v>153023475</v>
      </c>
      <c r="C16" s="1">
        <v>166797041</v>
      </c>
      <c r="D16" s="1">
        <v>200461710</v>
      </c>
      <c r="E16" s="1">
        <v>660851274</v>
      </c>
      <c r="F16" s="1">
        <v>1048657244</v>
      </c>
      <c r="G16" s="1" t="s">
        <v>56</v>
      </c>
    </row>
    <row r="17" spans="1:8">
      <c r="A17" s="12" t="s">
        <v>34</v>
      </c>
      <c r="B17" s="11">
        <f>B15+B16</f>
        <v>225105075</v>
      </c>
      <c r="C17" s="11">
        <f>C15+C16</f>
        <v>238878641</v>
      </c>
      <c r="D17" s="11">
        <f>D15+D16</f>
        <v>272543310</v>
      </c>
      <c r="E17" s="11">
        <f>E15+E16</f>
        <v>732932874</v>
      </c>
      <c r="F17" s="11">
        <f>F15+F16</f>
        <v>1120738844</v>
      </c>
      <c r="G17" s="1"/>
    </row>
    <row r="18" spans="1:8">
      <c r="A18" s="3" t="s">
        <v>35</v>
      </c>
      <c r="B18" s="1">
        <v>5172458</v>
      </c>
      <c r="C18" s="1">
        <v>0</v>
      </c>
      <c r="D18" s="1">
        <v>0</v>
      </c>
      <c r="E18" s="1">
        <v>36458334</v>
      </c>
      <c r="F18" s="1">
        <v>40033896</v>
      </c>
      <c r="G18" s="1" t="s">
        <v>55</v>
      </c>
    </row>
    <row r="19" spans="1:8">
      <c r="A19" s="3" t="s">
        <v>36</v>
      </c>
      <c r="B19" s="1">
        <v>17285759</v>
      </c>
      <c r="C19" s="1">
        <v>18684717</v>
      </c>
      <c r="D19" s="1">
        <v>21260768</v>
      </c>
      <c r="E19" s="1">
        <v>22008780</v>
      </c>
      <c r="F19" s="1">
        <v>25121780</v>
      </c>
      <c r="G19" s="30" t="s">
        <v>55</v>
      </c>
      <c r="H19" t="s">
        <v>123</v>
      </c>
    </row>
    <row r="20" spans="1:8">
      <c r="A20" s="3" t="s">
        <v>37</v>
      </c>
      <c r="B20" s="1">
        <v>35032712</v>
      </c>
      <c r="C20" s="1">
        <v>30653212</v>
      </c>
      <c r="D20" s="1">
        <v>23791792</v>
      </c>
      <c r="E20" s="1">
        <v>19441088</v>
      </c>
      <c r="F20" s="1">
        <v>15391607</v>
      </c>
      <c r="G20" s="30" t="s">
        <v>55</v>
      </c>
      <c r="H20" t="s">
        <v>123</v>
      </c>
    </row>
    <row r="21" spans="1:8">
      <c r="A21" s="12" t="s">
        <v>38</v>
      </c>
      <c r="B21" s="11">
        <f>SUM(B18:B20)</f>
        <v>57490929</v>
      </c>
      <c r="C21" s="11">
        <f>SUM(C18:C20)</f>
        <v>49337929</v>
      </c>
      <c r="D21" s="11">
        <f>SUM(D18:D20)</f>
        <v>45052560</v>
      </c>
      <c r="E21" s="11">
        <f>SUM(E18:E20)</f>
        <v>77908202</v>
      </c>
      <c r="F21" s="11">
        <f>SUM(F18:F20)</f>
        <v>80547283</v>
      </c>
      <c r="G21" s="1"/>
    </row>
    <row r="22" spans="1:8">
      <c r="A22" s="3" t="s">
        <v>39</v>
      </c>
      <c r="B22" s="1">
        <v>228024446</v>
      </c>
      <c r="C22" s="1">
        <v>168930625</v>
      </c>
      <c r="D22" s="1">
        <v>240334940</v>
      </c>
      <c r="E22" s="1">
        <v>92323508</v>
      </c>
      <c r="F22" s="1">
        <v>147858218</v>
      </c>
      <c r="G22" s="1" t="s">
        <v>53</v>
      </c>
      <c r="H22" t="s">
        <v>122</v>
      </c>
    </row>
    <row r="23" spans="1:8">
      <c r="A23" s="3" t="s">
        <v>40</v>
      </c>
      <c r="B23" s="1">
        <v>9568000</v>
      </c>
      <c r="C23" s="1">
        <v>0</v>
      </c>
      <c r="D23" s="1">
        <v>0</v>
      </c>
      <c r="E23" s="1">
        <v>12500000</v>
      </c>
      <c r="F23" s="1">
        <v>14509444</v>
      </c>
      <c r="G23" s="1" t="s">
        <v>55</v>
      </c>
    </row>
    <row r="24" spans="1:8">
      <c r="A24" s="3" t="s">
        <v>41</v>
      </c>
      <c r="B24" s="1">
        <v>22635360</v>
      </c>
      <c r="C24" s="1">
        <v>14593642</v>
      </c>
      <c r="D24" s="1">
        <v>33103035</v>
      </c>
      <c r="E24" s="1">
        <v>60957763</v>
      </c>
      <c r="F24" s="1">
        <v>39397112</v>
      </c>
      <c r="G24" s="1" t="s">
        <v>53</v>
      </c>
      <c r="H24" t="s">
        <v>121</v>
      </c>
    </row>
    <row r="25" spans="1:8">
      <c r="A25" s="3" t="s">
        <v>42</v>
      </c>
      <c r="B25" s="1">
        <v>4546952</v>
      </c>
      <c r="C25" s="1">
        <v>5632690</v>
      </c>
      <c r="D25" s="1">
        <v>7180202</v>
      </c>
      <c r="E25" s="1">
        <v>7455857</v>
      </c>
      <c r="F25" s="1">
        <v>6737950</v>
      </c>
      <c r="G25" s="1" t="s">
        <v>53</v>
      </c>
    </row>
    <row r="26" spans="1:8">
      <c r="A26" s="3" t="s">
        <v>43</v>
      </c>
      <c r="B26" s="1">
        <v>20785829</v>
      </c>
      <c r="C26" s="1">
        <v>29517777</v>
      </c>
      <c r="D26" s="1">
        <v>24945518</v>
      </c>
      <c r="E26" s="1">
        <v>16210389</v>
      </c>
      <c r="F26" s="1">
        <v>24459658</v>
      </c>
      <c r="G26" s="1" t="s">
        <v>53</v>
      </c>
    </row>
    <row r="27" spans="1:8">
      <c r="A27" s="3" t="s">
        <v>44</v>
      </c>
      <c r="B27" s="1">
        <v>57735814</v>
      </c>
      <c r="C27" s="1">
        <v>62549700</v>
      </c>
      <c r="D27" s="1">
        <v>66360009</v>
      </c>
      <c r="E27" s="1">
        <v>48652421</v>
      </c>
      <c r="F27" s="1">
        <v>72595490</v>
      </c>
      <c r="G27" s="30" t="s">
        <v>53</v>
      </c>
      <c r="H27" t="s">
        <v>123</v>
      </c>
    </row>
    <row r="28" spans="1:8">
      <c r="A28" s="3" t="s">
        <v>45</v>
      </c>
      <c r="B28" s="1">
        <v>13752393</v>
      </c>
      <c r="C28" s="1">
        <v>16520133</v>
      </c>
      <c r="D28" s="1">
        <v>22887210</v>
      </c>
      <c r="E28" s="1">
        <v>27483644</v>
      </c>
      <c r="F28" s="1">
        <v>18711324</v>
      </c>
      <c r="G28" s="30" t="s">
        <v>53</v>
      </c>
      <c r="H28" t="s">
        <v>123</v>
      </c>
    </row>
    <row r="29" spans="1:8">
      <c r="A29" s="12" t="s">
        <v>46</v>
      </c>
      <c r="B29" s="11">
        <f>SUM(B22:B28)</f>
        <v>357048794</v>
      </c>
      <c r="C29" s="11">
        <f>SUM(C22:C28)</f>
        <v>297744567</v>
      </c>
      <c r="D29" s="11">
        <f>SUM(D22:D28)</f>
        <v>394810914</v>
      </c>
      <c r="E29" s="11">
        <f>SUM(E22:E28)</f>
        <v>265583582</v>
      </c>
      <c r="F29" s="11">
        <f>SUM(F22:F28)</f>
        <v>324269196</v>
      </c>
      <c r="G29" s="1"/>
    </row>
    <row r="30" spans="1:8">
      <c r="A30" s="12" t="s">
        <v>47</v>
      </c>
      <c r="B30" s="11">
        <f>B29+B21</f>
        <v>414539723</v>
      </c>
      <c r="C30" s="11">
        <f>C29+C21</f>
        <v>347082496</v>
      </c>
      <c r="D30" s="11">
        <f>D29+D21</f>
        <v>439863474</v>
      </c>
      <c r="E30" s="11">
        <f>E29+E21</f>
        <v>343491784</v>
      </c>
      <c r="F30" s="11">
        <f>F29+F21</f>
        <v>404816479</v>
      </c>
      <c r="G30" s="1"/>
    </row>
    <row r="31" spans="1:8">
      <c r="A31" s="12" t="s">
        <v>48</v>
      </c>
      <c r="B31" s="11">
        <f>B30+B17</f>
        <v>639644798</v>
      </c>
      <c r="C31" s="11">
        <f>C30+C17</f>
        <v>585961137</v>
      </c>
      <c r="D31" s="11">
        <f>D30+D17</f>
        <v>712406784</v>
      </c>
      <c r="E31" s="11">
        <f>E30+E17</f>
        <v>1076424658</v>
      </c>
      <c r="F31" s="11">
        <f>F30+F17</f>
        <v>1525555323</v>
      </c>
      <c r="G31" s="1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32" sqref="F32"/>
    </sheetView>
  </sheetViews>
  <sheetFormatPr baseColWidth="10" defaultColWidth="8.83203125" defaultRowHeight="14" x14ac:dyDescent="0"/>
  <cols>
    <col min="1" max="1" width="27.5" customWidth="1"/>
    <col min="2" max="2" width="17.5" customWidth="1"/>
    <col min="3" max="3" width="15.33203125" customWidth="1"/>
    <col min="4" max="4" width="16" customWidth="1"/>
    <col min="5" max="5" width="16.33203125" customWidth="1"/>
    <col min="6" max="6" width="14.5" customWidth="1"/>
  </cols>
  <sheetData>
    <row r="1" spans="1:6">
      <c r="A1" s="2" t="s">
        <v>0</v>
      </c>
      <c r="B1" s="2" t="s">
        <v>102</v>
      </c>
      <c r="C1" s="2" t="s">
        <v>103</v>
      </c>
      <c r="D1" s="2" t="s">
        <v>104</v>
      </c>
      <c r="E1" s="2" t="s">
        <v>105</v>
      </c>
      <c r="F1" s="2" t="s">
        <v>106</v>
      </c>
    </row>
    <row r="2" spans="1:6">
      <c r="A2" t="s">
        <v>57</v>
      </c>
      <c r="B2" s="1">
        <f>'BS '!B2+'BS '!B4+'BS '!B6+'BS '!B7+'BS '!B8+'BS '!B9+'BS '!B10+'BS '!B11</f>
        <v>606026800</v>
      </c>
      <c r="C2" s="1">
        <f>'BS '!C2+'BS '!C4+'BS '!C6+'BS '!C7+'BS '!C8+'BS '!C9+'BS '!C10+'BS '!C11</f>
        <v>552343139</v>
      </c>
      <c r="D2" s="1">
        <f>'BS '!D2+'BS '!D4+'BS '!D6+'BS '!D7+'BS '!D8+'BS '!D9+'BS '!D10+'BS '!D11</f>
        <v>674156261</v>
      </c>
      <c r="E2" s="1">
        <f>'BS '!E2+'BS '!E4+'BS '!E6+'BS '!E7+'BS '!E8+'BS '!E9+'BS '!E10+'BS '!E11</f>
        <v>611064901</v>
      </c>
      <c r="F2" s="1">
        <f>'BS '!F2+'BS '!F4+'BS '!F6+'BS '!F7+'BS '!F8+'BS '!F9+'BS '!F10+'BS '!F11</f>
        <v>705502994</v>
      </c>
    </row>
    <row r="3" spans="1:6">
      <c r="A3" t="s">
        <v>58</v>
      </c>
      <c r="B3" s="1">
        <f>'BS '!B22+'BS '!B24+'BS '!B25+'BS '!B26+'BS '!B27+'BS '!B28</f>
        <v>347480794</v>
      </c>
      <c r="C3" s="1">
        <f>'BS '!C22+'BS '!C24+'BS '!C25+'BS '!C26+'BS '!C27+'BS '!C28</f>
        <v>297744567</v>
      </c>
      <c r="D3" s="1">
        <f>'BS '!D22+'BS '!D24+'BS '!D25+'BS '!D26+'BS '!D27+'BS '!D28</f>
        <v>394810914</v>
      </c>
      <c r="E3" s="1">
        <f>'BS '!E22+'BS '!E24+'BS '!E25+'BS '!E26+'BS '!E27+'BS '!E28</f>
        <v>253083582</v>
      </c>
      <c r="F3" s="1">
        <f>'BS '!F22+'BS '!F24+'BS '!F25+'BS '!F26+'BS '!F27+'BS '!F28</f>
        <v>309759752</v>
      </c>
    </row>
    <row r="4" spans="1:6">
      <c r="A4" t="s">
        <v>59</v>
      </c>
      <c r="B4" s="1">
        <f>B2-B3</f>
        <v>258546006</v>
      </c>
      <c r="C4" s="1">
        <f t="shared" ref="C4:F4" si="0">C2-C3</f>
        <v>254598572</v>
      </c>
      <c r="D4" s="1">
        <f t="shared" si="0"/>
        <v>279345347</v>
      </c>
      <c r="E4" s="1">
        <f t="shared" si="0"/>
        <v>357981319</v>
      </c>
      <c r="F4" s="1">
        <f t="shared" si="0"/>
        <v>395743242</v>
      </c>
    </row>
    <row r="5" spans="1:6">
      <c r="A5" t="s">
        <v>60</v>
      </c>
      <c r="B5" s="1"/>
      <c r="C5" s="1">
        <f>C4-B4</f>
        <v>-3947434</v>
      </c>
      <c r="D5" s="1">
        <f t="shared" ref="D5:F5" si="1">D4-C4</f>
        <v>24746775</v>
      </c>
      <c r="E5" s="1">
        <f t="shared" si="1"/>
        <v>78635972</v>
      </c>
      <c r="F5" s="1">
        <f t="shared" si="1"/>
        <v>37761923</v>
      </c>
    </row>
    <row r="6" spans="1:6">
      <c r="A6" t="s">
        <v>61</v>
      </c>
      <c r="B6" s="1">
        <f>'BS '!B3</f>
        <v>33617998</v>
      </c>
      <c r="C6" s="1">
        <f>'BS '!C3</f>
        <v>33617998</v>
      </c>
      <c r="D6" s="1">
        <f>'BS '!D3</f>
        <v>38250523</v>
      </c>
      <c r="E6" s="1">
        <f>'BS '!E3</f>
        <v>465359757</v>
      </c>
      <c r="F6" s="1">
        <f>'BS '!F3</f>
        <v>820052329</v>
      </c>
    </row>
    <row r="7" spans="1:6">
      <c r="A7" t="s">
        <v>62</v>
      </c>
      <c r="B7" s="1">
        <f>'BS '!B18+'BS '!B19+'BS '!B20+'BS '!B23</f>
        <v>67058929</v>
      </c>
      <c r="C7" s="1">
        <f>'BS '!C18+'BS '!C19+'BS '!C20+'BS '!C23</f>
        <v>49337929</v>
      </c>
      <c r="D7" s="1">
        <f>'BS '!D18+'BS '!D19+'BS '!D20+'BS '!D23</f>
        <v>45052560</v>
      </c>
      <c r="E7" s="1">
        <f>'BS '!E18+'BS '!E19+'BS '!E20+'BS '!E23</f>
        <v>90408202</v>
      </c>
      <c r="F7" s="1">
        <f>'BS '!F18+'BS '!F19+'BS '!F20+'BS '!F23</f>
        <v>95056727</v>
      </c>
    </row>
    <row r="8" spans="1:6">
      <c r="A8" t="s">
        <v>63</v>
      </c>
      <c r="B8" s="1">
        <f>B7-B6</f>
        <v>33440931</v>
      </c>
      <c r="C8" s="1">
        <f t="shared" ref="C8:F8" si="2">C7-C6</f>
        <v>15719931</v>
      </c>
      <c r="D8" s="1">
        <f t="shared" si="2"/>
        <v>6802037</v>
      </c>
      <c r="E8" s="1">
        <f t="shared" si="2"/>
        <v>-374951555</v>
      </c>
      <c r="F8" s="1">
        <f t="shared" si="2"/>
        <v>-724995602</v>
      </c>
    </row>
    <row r="9" spans="1:6">
      <c r="A9" t="s">
        <v>64</v>
      </c>
      <c r="B9" s="1">
        <f>B4-B8</f>
        <v>225105075</v>
      </c>
      <c r="C9" s="1">
        <f t="shared" ref="C9:F9" si="3">C4-C8</f>
        <v>238878641</v>
      </c>
      <c r="D9" s="1">
        <f t="shared" si="3"/>
        <v>272543310</v>
      </c>
      <c r="E9" s="1">
        <f t="shared" si="3"/>
        <v>732932874</v>
      </c>
      <c r="F9" s="1">
        <f t="shared" si="3"/>
        <v>1120738844</v>
      </c>
    </row>
    <row r="10" spans="1:6">
      <c r="B10" s="1"/>
      <c r="C10" s="1"/>
      <c r="D10" s="1"/>
      <c r="E10" s="1"/>
      <c r="F10" s="1"/>
    </row>
    <row r="11" spans="1:6">
      <c r="A11" s="13" t="s">
        <v>65</v>
      </c>
      <c r="B11" s="31"/>
      <c r="C11" s="32">
        <f>IS!C2/'ATO '!B4</f>
        <v>1.358460080021503</v>
      </c>
      <c r="D11" s="32">
        <f>IS!D2/'ATO '!C4</f>
        <v>2.1130204493055835</v>
      </c>
      <c r="E11" s="32">
        <f>IS!E2/'ATO '!D4</f>
        <v>2.2027598512317446</v>
      </c>
      <c r="F11" s="32">
        <f>IS!F2/'ATO '!E4</f>
        <v>1.7391168448094354</v>
      </c>
    </row>
    <row r="12" spans="1:6">
      <c r="A12" s="13" t="s">
        <v>66</v>
      </c>
      <c r="B12" s="31"/>
      <c r="C12" s="31"/>
      <c r="D12" s="31"/>
      <c r="E12" s="31"/>
      <c r="F12" s="32">
        <f>AVERAGE(C11:F11)</f>
        <v>1.8533393063420669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74" workbookViewId="0">
      <selection activeCell="A105" sqref="A105:B105"/>
    </sheetView>
  </sheetViews>
  <sheetFormatPr baseColWidth="10" defaultColWidth="8.83203125" defaultRowHeight="14" x14ac:dyDescent="0"/>
  <cols>
    <col min="1" max="1" width="24.6640625" customWidth="1"/>
    <col min="2" max="2" width="26" customWidth="1"/>
    <col min="3" max="5" width="17.6640625" customWidth="1"/>
    <col min="6" max="6" width="18" customWidth="1"/>
    <col min="7" max="7" width="14.6640625" customWidth="1"/>
    <col min="8" max="8" width="15" customWidth="1"/>
  </cols>
  <sheetData>
    <row r="1" spans="1:7">
      <c r="A1" s="40" t="s">
        <v>67</v>
      </c>
      <c r="B1" s="40" t="s">
        <v>75</v>
      </c>
      <c r="C1" s="40" t="s">
        <v>76</v>
      </c>
      <c r="D1" s="40" t="s">
        <v>165</v>
      </c>
      <c r="E1" s="40" t="s">
        <v>166</v>
      </c>
      <c r="F1" s="41" t="s">
        <v>77</v>
      </c>
      <c r="G1" s="41" t="s">
        <v>78</v>
      </c>
    </row>
    <row r="2" spans="1:7">
      <c r="A2" s="16" t="s">
        <v>68</v>
      </c>
      <c r="B2" s="20">
        <v>2613.5</v>
      </c>
      <c r="C2" s="15">
        <v>8290.4128500000006</v>
      </c>
      <c r="D2" s="60">
        <v>0</v>
      </c>
      <c r="E2" s="58">
        <v>1</v>
      </c>
      <c r="F2" s="63">
        <f>((D2+(B2-B3)*E2)/B3)</f>
        <v>-4.7384727537816661E-2</v>
      </c>
      <c r="G2" s="63">
        <f>(C2-C3)/C3</f>
        <v>-3.6272101440671341E-2</v>
      </c>
    </row>
    <row r="3" spans="1:7">
      <c r="A3" s="16" t="s">
        <v>69</v>
      </c>
      <c r="B3" s="21">
        <v>2743.5</v>
      </c>
      <c r="C3" s="15">
        <v>8602.4414799999995</v>
      </c>
      <c r="D3" s="60">
        <v>0</v>
      </c>
      <c r="E3" s="58">
        <v>1</v>
      </c>
      <c r="F3" s="63">
        <f t="shared" ref="F3:F60" si="0">((D3+(B3-B4)*E3)/B4)</f>
        <v>-8.1944823818628793E-4</v>
      </c>
      <c r="G3" s="63">
        <f t="shared" ref="G3:G60" si="1">(C3-C4)/C4</f>
        <v>8.1099725471817971E-2</v>
      </c>
    </row>
    <row r="4" spans="1:7">
      <c r="A4" s="16" t="s">
        <v>70</v>
      </c>
      <c r="B4" s="20">
        <v>2745.75</v>
      </c>
      <c r="C4" s="15">
        <v>7957.1211400000002</v>
      </c>
      <c r="D4" s="60">
        <v>0</v>
      </c>
      <c r="E4" s="58">
        <v>1</v>
      </c>
      <c r="F4" s="63">
        <f t="shared" si="0"/>
        <v>-1.5242535640634807E-2</v>
      </c>
      <c r="G4" s="63">
        <f t="shared" si="1"/>
        <v>0.12113474918693966</v>
      </c>
    </row>
    <row r="5" spans="1:7">
      <c r="A5" s="16" t="s">
        <v>71</v>
      </c>
      <c r="B5" s="20">
        <v>2788.25</v>
      </c>
      <c r="C5" s="15">
        <v>7097.3815999999997</v>
      </c>
      <c r="D5" s="60">
        <v>0</v>
      </c>
      <c r="E5" s="58">
        <v>1</v>
      </c>
      <c r="F5" s="63">
        <f t="shared" si="0"/>
        <v>-4.1920797182372647E-2</v>
      </c>
      <c r="G5" s="63">
        <f t="shared" si="1"/>
        <v>6.5997038435847324E-2</v>
      </c>
    </row>
    <row r="6" spans="1:7">
      <c r="A6" s="16" t="s">
        <v>72</v>
      </c>
      <c r="B6" s="20">
        <v>2910.25</v>
      </c>
      <c r="C6" s="15">
        <v>6657.9749700000002</v>
      </c>
      <c r="D6" s="60">
        <v>0</v>
      </c>
      <c r="E6" s="58">
        <v>1</v>
      </c>
      <c r="F6" s="63">
        <f t="shared" si="0"/>
        <v>0.30416760026887746</v>
      </c>
      <c r="G6" s="63">
        <f t="shared" si="1"/>
        <v>4.9697131047291752E-2</v>
      </c>
    </row>
    <row r="7" spans="1:7">
      <c r="A7" s="16" t="s">
        <v>73</v>
      </c>
      <c r="B7" s="20">
        <v>2231.5</v>
      </c>
      <c r="C7" s="15">
        <v>6342.7580900000003</v>
      </c>
      <c r="D7" s="60">
        <v>0</v>
      </c>
      <c r="E7" s="58">
        <v>1</v>
      </c>
      <c r="F7" s="63">
        <f t="shared" si="0"/>
        <v>2.976465159206276E-2</v>
      </c>
      <c r="G7" s="63">
        <f t="shared" si="1"/>
        <v>3.0726459746133868E-2</v>
      </c>
    </row>
    <row r="8" spans="1:7">
      <c r="A8" s="17" t="s">
        <v>74</v>
      </c>
      <c r="B8" s="22">
        <v>2167</v>
      </c>
      <c r="C8" s="15">
        <v>6153.6773700000003</v>
      </c>
      <c r="D8" s="60">
        <v>0</v>
      </c>
      <c r="E8" s="58">
        <v>1</v>
      </c>
      <c r="F8" s="63">
        <f t="shared" si="0"/>
        <v>8.0528546497132883E-2</v>
      </c>
      <c r="G8" s="63">
        <f t="shared" si="1"/>
        <v>7.5089861775553381E-3</v>
      </c>
    </row>
    <row r="9" spans="1:7">
      <c r="A9" s="18">
        <v>40329</v>
      </c>
      <c r="B9" s="22">
        <v>2005.5</v>
      </c>
      <c r="C9" s="14">
        <v>6107.8138799999997</v>
      </c>
      <c r="D9" s="60">
        <v>0</v>
      </c>
      <c r="E9" s="58">
        <v>1</v>
      </c>
      <c r="F9" s="63">
        <f t="shared" si="0"/>
        <v>2.7934392619169655E-2</v>
      </c>
      <c r="G9" s="63">
        <f t="shared" si="1"/>
        <v>8.0096639127383101E-2</v>
      </c>
    </row>
    <row r="10" spans="1:7">
      <c r="A10" s="18">
        <v>40297</v>
      </c>
      <c r="B10" s="20">
        <v>1951</v>
      </c>
      <c r="C10" s="14">
        <v>5654.8772200000003</v>
      </c>
      <c r="D10" s="60">
        <v>0</v>
      </c>
      <c r="E10" s="58">
        <v>1</v>
      </c>
      <c r="F10" s="63">
        <f t="shared" si="0"/>
        <v>-2.9232491603433264E-2</v>
      </c>
      <c r="G10" s="63">
        <f t="shared" si="1"/>
        <v>1.2995090648709821E-2</v>
      </c>
    </row>
    <row r="11" spans="1:7">
      <c r="A11" s="18">
        <v>40268</v>
      </c>
      <c r="B11" s="15">
        <v>2009.75</v>
      </c>
      <c r="C11" s="14">
        <v>5582.33428</v>
      </c>
      <c r="D11" s="59">
        <v>30</v>
      </c>
      <c r="E11" s="58">
        <v>1</v>
      </c>
      <c r="F11" s="63">
        <f t="shared" si="0"/>
        <v>-7.300158170093685E-3</v>
      </c>
      <c r="G11" s="63">
        <f t="shared" si="1"/>
        <v>3.9156552447449514E-3</v>
      </c>
    </row>
    <row r="12" spans="1:7" ht="15">
      <c r="A12" s="18">
        <v>40237</v>
      </c>
      <c r="B12" s="15">
        <v>2054.75</v>
      </c>
      <c r="C12" s="23">
        <v>5560.5610399999996</v>
      </c>
      <c r="D12" s="61">
        <v>0</v>
      </c>
      <c r="E12" s="58">
        <v>1</v>
      </c>
      <c r="F12" s="63">
        <f t="shared" si="0"/>
        <v>-0.11251484720872476</v>
      </c>
      <c r="G12" s="63">
        <f t="shared" si="1"/>
        <v>3.6044454499851976E-2</v>
      </c>
    </row>
    <row r="13" spans="1:7" ht="15">
      <c r="A13" s="18">
        <v>40208</v>
      </c>
      <c r="B13" s="15">
        <v>2315.25</v>
      </c>
      <c r="C13" s="14">
        <v>5367.1066099999998</v>
      </c>
      <c r="D13" s="61">
        <v>0</v>
      </c>
      <c r="E13" s="58">
        <v>1</v>
      </c>
      <c r="F13" s="63">
        <f t="shared" si="0"/>
        <v>0.25199405164255778</v>
      </c>
      <c r="G13" s="63">
        <f t="shared" si="1"/>
        <v>0.18334671522617671</v>
      </c>
    </row>
    <row r="14" spans="1:7" ht="15">
      <c r="A14" s="18">
        <v>40177</v>
      </c>
      <c r="B14" s="24">
        <v>1849.25</v>
      </c>
      <c r="C14" s="14">
        <v>4535.5317599999998</v>
      </c>
      <c r="D14" s="61">
        <v>0</v>
      </c>
      <c r="E14" s="58">
        <v>1</v>
      </c>
      <c r="F14" s="63">
        <f t="shared" si="0"/>
        <v>6.8467427415860177E-2</v>
      </c>
      <c r="G14" s="63">
        <f t="shared" si="1"/>
        <v>3.5285444584796141E-2</v>
      </c>
    </row>
    <row r="15" spans="1:7" ht="15">
      <c r="A15" s="18">
        <v>40143</v>
      </c>
      <c r="B15" s="24">
        <v>1730.75</v>
      </c>
      <c r="C15" s="14">
        <v>4380.9480599999997</v>
      </c>
      <c r="D15" s="61">
        <v>0</v>
      </c>
      <c r="E15" s="58">
        <v>1</v>
      </c>
      <c r="F15" s="63">
        <f t="shared" si="0"/>
        <v>2.8371954842543078E-2</v>
      </c>
      <c r="G15" s="63">
        <f t="shared" si="1"/>
        <v>0.30220184313771203</v>
      </c>
    </row>
    <row r="16" spans="1:7" ht="15">
      <c r="A16" s="18">
        <v>40115</v>
      </c>
      <c r="B16" s="15">
        <v>1683</v>
      </c>
      <c r="C16" s="14">
        <v>3364.2619100000002</v>
      </c>
      <c r="D16" s="61">
        <v>0</v>
      </c>
      <c r="E16" s="58">
        <v>1</v>
      </c>
      <c r="F16" s="63">
        <f t="shared" si="0"/>
        <v>0.14880546075085324</v>
      </c>
      <c r="G16" s="63">
        <f t="shared" si="1"/>
        <v>9.0916420799117548E-2</v>
      </c>
    </row>
    <row r="17" spans="1:7" ht="15">
      <c r="A17" s="18">
        <v>40086</v>
      </c>
      <c r="B17" s="15">
        <v>1465</v>
      </c>
      <c r="C17" s="14">
        <v>3083.8860300000001</v>
      </c>
      <c r="D17" s="61">
        <v>0</v>
      </c>
      <c r="E17" s="58">
        <v>1</v>
      </c>
      <c r="F17" s="63">
        <f t="shared" si="0"/>
        <v>9.7378277153558054E-2</v>
      </c>
      <c r="G17" s="63">
        <f t="shared" si="1"/>
        <v>4.8483074511863886E-2</v>
      </c>
    </row>
    <row r="18" spans="1:7" ht="15">
      <c r="A18" s="18">
        <v>40056</v>
      </c>
      <c r="B18" s="25">
        <v>1335</v>
      </c>
      <c r="C18" s="14">
        <v>2941.2835599999999</v>
      </c>
      <c r="D18" s="61">
        <v>0</v>
      </c>
      <c r="E18" s="58">
        <v>1</v>
      </c>
      <c r="F18" s="63">
        <f t="shared" si="0"/>
        <v>9.0702947845804991E-3</v>
      </c>
      <c r="G18" s="63">
        <f t="shared" si="1"/>
        <v>9.1780821490097305E-3</v>
      </c>
    </row>
    <row r="19" spans="1:7" ht="15">
      <c r="A19" s="18">
        <v>40024</v>
      </c>
      <c r="B19" s="26">
        <v>1323</v>
      </c>
      <c r="C19" s="14">
        <v>2914.5337300000001</v>
      </c>
      <c r="D19" s="61">
        <v>0</v>
      </c>
      <c r="E19" s="59">
        <v>1.5</v>
      </c>
      <c r="F19" s="63">
        <f t="shared" si="0"/>
        <v>4.8878048780487807E-2</v>
      </c>
      <c r="G19" s="63">
        <f t="shared" si="1"/>
        <v>-3.1801219653245026E-2</v>
      </c>
    </row>
    <row r="20" spans="1:7" ht="15">
      <c r="A20" s="18">
        <v>39994</v>
      </c>
      <c r="B20" s="15">
        <v>1281.25</v>
      </c>
      <c r="C20" s="14">
        <v>3010.26379</v>
      </c>
      <c r="D20" s="61">
        <v>0</v>
      </c>
      <c r="E20" s="59">
        <v>1</v>
      </c>
      <c r="F20" s="63">
        <f t="shared" si="0"/>
        <v>0.16028978944985284</v>
      </c>
      <c r="G20" s="63">
        <f t="shared" si="1"/>
        <v>0.17031600257325663</v>
      </c>
    </row>
    <row r="21" spans="1:7" ht="15">
      <c r="A21" s="18">
        <v>39964</v>
      </c>
      <c r="B21" s="24">
        <v>1104.25</v>
      </c>
      <c r="C21" s="14">
        <v>2572.1803199999999</v>
      </c>
      <c r="D21" s="61">
        <v>0</v>
      </c>
      <c r="E21" s="59">
        <v>1</v>
      </c>
      <c r="F21" s="63">
        <f t="shared" si="0"/>
        <v>-6.9694244604316547E-3</v>
      </c>
      <c r="G21" s="63">
        <f t="shared" si="1"/>
        <v>6.9782852839617758E-3</v>
      </c>
    </row>
    <row r="22" spans="1:7" ht="15">
      <c r="A22" s="18">
        <v>39933</v>
      </c>
      <c r="B22" s="24">
        <v>1112</v>
      </c>
      <c r="C22" s="14">
        <v>2554.3553000000002</v>
      </c>
      <c r="D22" s="61">
        <v>0</v>
      </c>
      <c r="E22" s="59">
        <v>1</v>
      </c>
      <c r="F22" s="63">
        <f t="shared" si="0"/>
        <v>-5.4421768707482991E-2</v>
      </c>
      <c r="G22" s="63">
        <f t="shared" si="1"/>
        <v>4.3905379502761105E-2</v>
      </c>
    </row>
    <row r="23" spans="1:7">
      <c r="A23" s="18">
        <v>39903</v>
      </c>
      <c r="B23" s="24">
        <v>1176</v>
      </c>
      <c r="C23" s="14">
        <v>2446.9222500000001</v>
      </c>
      <c r="D23" s="59">
        <v>45</v>
      </c>
      <c r="E23" s="59">
        <v>1</v>
      </c>
      <c r="F23" s="63">
        <f t="shared" si="0"/>
        <v>0.13554987212276215</v>
      </c>
      <c r="G23" s="63">
        <f t="shared" si="1"/>
        <v>-4.8247208306981787E-2</v>
      </c>
    </row>
    <row r="24" spans="1:7">
      <c r="A24" s="18">
        <v>39870</v>
      </c>
      <c r="B24" s="24">
        <v>1075.25</v>
      </c>
      <c r="C24" s="14">
        <v>2570.9640899999999</v>
      </c>
      <c r="D24" s="62">
        <v>0</v>
      </c>
      <c r="E24" s="59">
        <v>1</v>
      </c>
      <c r="F24" s="63">
        <f>((D24+(B24-B25)*E24)/B25)</f>
        <v>7.9026593075765178E-2</v>
      </c>
      <c r="G24" s="63">
        <f t="shared" si="1"/>
        <v>-2.9639679346350815E-2</v>
      </c>
    </row>
    <row r="25" spans="1:7" ht="15">
      <c r="A25" s="18">
        <v>39842</v>
      </c>
      <c r="B25" s="24">
        <v>996.5</v>
      </c>
      <c r="C25" s="23">
        <v>2649.4942500000002</v>
      </c>
      <c r="D25" s="62">
        <v>0</v>
      </c>
      <c r="E25" s="59">
        <v>1</v>
      </c>
      <c r="F25" s="63">
        <f t="shared" si="0"/>
        <v>-9.1406428082972419E-2</v>
      </c>
      <c r="G25" s="63">
        <f t="shared" si="1"/>
        <v>-5.2174601300736208E-2</v>
      </c>
    </row>
    <row r="26" spans="1:7" ht="15">
      <c r="A26" s="17">
        <v>39812</v>
      </c>
      <c r="B26" s="24">
        <v>1096.75</v>
      </c>
      <c r="C26" s="23">
        <v>2795.34</v>
      </c>
      <c r="D26" s="62">
        <v>0</v>
      </c>
      <c r="E26" s="59">
        <v>1</v>
      </c>
      <c r="F26" s="63">
        <f t="shared" si="0"/>
        <v>0.19050203527815468</v>
      </c>
      <c r="G26" s="63">
        <f t="shared" si="1"/>
        <v>0.1322123661071106</v>
      </c>
    </row>
    <row r="27" spans="1:7" ht="15">
      <c r="A27" s="17">
        <v>39782</v>
      </c>
      <c r="B27" s="24">
        <v>921.25</v>
      </c>
      <c r="C27" s="23">
        <v>2468.9184500000001</v>
      </c>
      <c r="D27" s="62">
        <v>0</v>
      </c>
      <c r="E27" s="59">
        <v>1</v>
      </c>
      <c r="F27" s="63">
        <f t="shared" si="0"/>
        <v>-0.14002333722287047</v>
      </c>
      <c r="G27" s="63">
        <f t="shared" si="1"/>
        <v>-0.10175344210882392</v>
      </c>
    </row>
    <row r="28" spans="1:7" ht="15">
      <c r="A28" s="17">
        <v>39751</v>
      </c>
      <c r="B28" s="27">
        <v>1071.25</v>
      </c>
      <c r="C28" s="23">
        <v>2748.59773</v>
      </c>
      <c r="D28" s="62">
        <v>0</v>
      </c>
      <c r="E28" s="59">
        <v>1</v>
      </c>
      <c r="F28" s="63">
        <f t="shared" si="0"/>
        <v>0.13962765957446807</v>
      </c>
      <c r="G28" s="63">
        <f t="shared" si="1"/>
        <v>-7.3553689160220384E-2</v>
      </c>
    </row>
    <row r="29" spans="1:7" ht="15">
      <c r="A29" s="17">
        <v>39716</v>
      </c>
      <c r="B29" s="19">
        <v>940</v>
      </c>
      <c r="C29" s="23">
        <v>2966.8181500000001</v>
      </c>
      <c r="D29" s="62">
        <v>0</v>
      </c>
      <c r="E29" s="59">
        <v>1</v>
      </c>
      <c r="F29" s="63">
        <f t="shared" si="0"/>
        <v>4.2735042735042739E-3</v>
      </c>
      <c r="G29" s="63">
        <f t="shared" si="1"/>
        <v>6.2918511751218209E-2</v>
      </c>
    </row>
    <row r="30" spans="1:7">
      <c r="A30" s="17">
        <v>39691</v>
      </c>
      <c r="B30" s="24">
        <v>936</v>
      </c>
      <c r="C30" s="14">
        <v>2791.2</v>
      </c>
      <c r="D30" s="62">
        <v>0</v>
      </c>
      <c r="E30" s="59">
        <v>1</v>
      </c>
      <c r="F30" s="63">
        <f t="shared" si="0"/>
        <v>-4.684317718940937E-2</v>
      </c>
      <c r="G30" s="63">
        <f t="shared" si="1"/>
        <v>1.0919758787417697E-2</v>
      </c>
    </row>
    <row r="31" spans="1:7" ht="15">
      <c r="A31" s="17">
        <v>39659</v>
      </c>
      <c r="B31" s="24">
        <v>982</v>
      </c>
      <c r="C31" s="23">
        <v>2761.05</v>
      </c>
      <c r="D31" s="62">
        <v>0</v>
      </c>
      <c r="E31" s="59">
        <v>1</v>
      </c>
      <c r="F31" s="63">
        <f t="shared" si="0"/>
        <v>-9.1371732593106644E-2</v>
      </c>
      <c r="G31" s="63">
        <f t="shared" si="1"/>
        <v>-7.980029928445008E-2</v>
      </c>
    </row>
    <row r="32" spans="1:7">
      <c r="A32" s="17">
        <v>39629</v>
      </c>
      <c r="B32" s="19">
        <v>1080.75</v>
      </c>
      <c r="C32" s="14">
        <v>3000.49</v>
      </c>
      <c r="D32" s="62">
        <v>0</v>
      </c>
      <c r="E32" s="59">
        <v>1</v>
      </c>
      <c r="F32" s="63">
        <f t="shared" si="0"/>
        <v>-7.8448092091238542E-2</v>
      </c>
      <c r="G32" s="63">
        <f t="shared" si="1"/>
        <v>-5.2872641643439536E-2</v>
      </c>
    </row>
    <row r="33" spans="1:7">
      <c r="A33" s="17">
        <v>39597</v>
      </c>
      <c r="B33" s="19">
        <v>1172.75</v>
      </c>
      <c r="C33" s="14">
        <v>3167.99</v>
      </c>
      <c r="D33" s="62">
        <v>0</v>
      </c>
      <c r="E33" s="59">
        <v>1</v>
      </c>
      <c r="F33" s="63">
        <f t="shared" si="0"/>
        <v>0.19515923566878982</v>
      </c>
      <c r="G33" s="63">
        <f t="shared" si="1"/>
        <v>3.0961485266120987E-2</v>
      </c>
    </row>
    <row r="34" spans="1:7">
      <c r="A34" s="17">
        <v>39568</v>
      </c>
      <c r="B34" s="19">
        <v>981.25</v>
      </c>
      <c r="C34" s="14">
        <v>3072.85</v>
      </c>
      <c r="D34" s="62">
        <v>0</v>
      </c>
      <c r="E34" s="59">
        <v>1</v>
      </c>
      <c r="F34" s="63">
        <f t="shared" si="0"/>
        <v>1.2119649303764827E-2</v>
      </c>
      <c r="G34" s="63">
        <f t="shared" si="1"/>
        <v>1.8684304832538714E-2</v>
      </c>
    </row>
    <row r="35" spans="1:7">
      <c r="A35" s="17">
        <v>39538</v>
      </c>
      <c r="B35" s="19">
        <v>969.5</v>
      </c>
      <c r="C35" s="15">
        <v>3016.489</v>
      </c>
      <c r="D35" s="62">
        <v>0</v>
      </c>
      <c r="E35" s="59">
        <v>1</v>
      </c>
      <c r="F35" s="63">
        <f t="shared" si="0"/>
        <v>0.24454428754813864</v>
      </c>
      <c r="G35" s="63">
        <f t="shared" si="1"/>
        <v>2.9033765666682559E-2</v>
      </c>
    </row>
    <row r="36" spans="1:7">
      <c r="A36" s="16">
        <v>39506</v>
      </c>
      <c r="B36" s="19">
        <v>779</v>
      </c>
      <c r="C36" s="14">
        <v>2931.38</v>
      </c>
      <c r="D36" s="62">
        <v>0</v>
      </c>
      <c r="E36" s="59">
        <v>2</v>
      </c>
      <c r="F36" s="63">
        <f>((D36+(B36-B37)*E36)/B37)</f>
        <v>0.135709389993146</v>
      </c>
      <c r="G36" s="63">
        <f t="shared" si="1"/>
        <v>8.329073743982951E-3</v>
      </c>
    </row>
    <row r="37" spans="1:7">
      <c r="A37" s="16">
        <v>39478</v>
      </c>
      <c r="B37" s="24">
        <v>729.5</v>
      </c>
      <c r="C37" s="14">
        <v>2907.1660000000002</v>
      </c>
      <c r="D37" s="62">
        <v>0</v>
      </c>
      <c r="E37" s="59">
        <v>1</v>
      </c>
      <c r="F37" s="63">
        <f t="shared" si="0"/>
        <v>-2.9920212765957448E-2</v>
      </c>
      <c r="G37" s="63">
        <f t="shared" si="1"/>
        <v>-3.6472105024177921E-2</v>
      </c>
    </row>
    <row r="38" spans="1:7">
      <c r="A38" s="16">
        <v>39446</v>
      </c>
      <c r="B38" s="24">
        <v>752</v>
      </c>
      <c r="C38" s="14">
        <v>3017.21</v>
      </c>
      <c r="D38" s="59">
        <v>40</v>
      </c>
      <c r="E38" s="59">
        <v>1</v>
      </c>
      <c r="F38" s="63">
        <f t="shared" si="0"/>
        <v>2.2595222724338282E-2</v>
      </c>
      <c r="G38" s="63">
        <f t="shared" si="1"/>
        <v>1.5516086580436237E-2</v>
      </c>
    </row>
    <row r="39" spans="1:7">
      <c r="A39" s="16">
        <v>39415</v>
      </c>
      <c r="B39" s="24">
        <v>774.5</v>
      </c>
      <c r="C39" s="14">
        <v>2971.11</v>
      </c>
      <c r="D39" s="62">
        <v>0</v>
      </c>
      <c r="E39" s="59">
        <v>1</v>
      </c>
      <c r="F39" s="63">
        <f t="shared" si="0"/>
        <v>-5.9502125075895571E-2</v>
      </c>
      <c r="G39" s="63">
        <f t="shared" si="1"/>
        <v>4.2198533048502067E-2</v>
      </c>
    </row>
    <row r="40" spans="1:7">
      <c r="A40" s="16">
        <v>39386</v>
      </c>
      <c r="B40" s="24">
        <v>823.5</v>
      </c>
      <c r="C40" s="14">
        <v>2850.81</v>
      </c>
      <c r="D40" s="62">
        <v>0</v>
      </c>
      <c r="E40" s="59">
        <v>1</v>
      </c>
      <c r="F40" s="63">
        <f t="shared" si="0"/>
        <v>-5.7349833987322667E-3</v>
      </c>
      <c r="G40" s="63">
        <f t="shared" si="1"/>
        <v>0.11862710860156414</v>
      </c>
    </row>
    <row r="41" spans="1:7">
      <c r="A41" s="16">
        <v>39355</v>
      </c>
      <c r="B41" s="24">
        <v>828.25</v>
      </c>
      <c r="C41" s="15">
        <v>2548.4899999999998</v>
      </c>
      <c r="D41" s="62">
        <v>0</v>
      </c>
      <c r="E41" s="59">
        <v>1</v>
      </c>
      <c r="F41" s="63">
        <f t="shared" si="0"/>
        <v>0.20472727272727273</v>
      </c>
      <c r="G41" s="63">
        <f t="shared" si="1"/>
        <v>3.8047639995437969E-2</v>
      </c>
    </row>
    <row r="42" spans="1:7">
      <c r="A42" s="16">
        <v>39323</v>
      </c>
      <c r="B42" s="24">
        <v>687.5</v>
      </c>
      <c r="C42" s="14">
        <v>2455.08</v>
      </c>
      <c r="D42" s="62">
        <v>0</v>
      </c>
      <c r="E42" s="59">
        <v>1</v>
      </c>
      <c r="F42" s="63">
        <f t="shared" si="0"/>
        <v>1.177336276674025E-2</v>
      </c>
      <c r="G42" s="63">
        <f t="shared" si="1"/>
        <v>2.9737687590702083E-2</v>
      </c>
    </row>
    <row r="43" spans="1:7">
      <c r="A43" s="16">
        <v>39294</v>
      </c>
      <c r="B43" s="24">
        <v>679.5</v>
      </c>
      <c r="C43" s="28">
        <v>2384.1799999999998</v>
      </c>
      <c r="D43" s="62">
        <v>0</v>
      </c>
      <c r="E43" s="59">
        <v>1</v>
      </c>
      <c r="F43" s="63">
        <f t="shared" si="0"/>
        <v>0.10218978102189781</v>
      </c>
      <c r="G43" s="63">
        <f t="shared" si="1"/>
        <v>0.10927176967599038</v>
      </c>
    </row>
    <row r="44" spans="1:7">
      <c r="A44" s="17">
        <v>39261</v>
      </c>
      <c r="B44" s="24">
        <v>616.5</v>
      </c>
      <c r="C44" s="14">
        <v>2149.3200000000002</v>
      </c>
      <c r="D44" s="62">
        <v>0</v>
      </c>
      <c r="E44" s="59">
        <v>1</v>
      </c>
      <c r="F44" s="63">
        <f>((D44+(B44-B45)*E44)/B45)</f>
        <v>-2.0651310563939634E-2</v>
      </c>
      <c r="G44" s="63">
        <f t="shared" si="1"/>
        <v>7.2739795765579734E-2</v>
      </c>
    </row>
    <row r="45" spans="1:7">
      <c r="A45" s="17">
        <v>39233</v>
      </c>
      <c r="B45" s="24">
        <v>629.5</v>
      </c>
      <c r="C45" s="14">
        <v>2003.58</v>
      </c>
      <c r="D45" s="62">
        <v>0</v>
      </c>
      <c r="E45" s="59">
        <v>1</v>
      </c>
      <c r="F45" s="63">
        <f t="shared" si="0"/>
        <v>0.1679035250463822</v>
      </c>
      <c r="G45" s="63">
        <f t="shared" si="1"/>
        <v>0.14928326822804633</v>
      </c>
    </row>
    <row r="46" spans="1:7">
      <c r="A46" s="17">
        <v>39202</v>
      </c>
      <c r="B46" s="24">
        <v>539</v>
      </c>
      <c r="C46" s="14">
        <v>1743.33</v>
      </c>
      <c r="D46" s="62">
        <v>0</v>
      </c>
      <c r="E46" s="59">
        <v>1</v>
      </c>
      <c r="F46" s="63">
        <f t="shared" si="0"/>
        <v>1.5544041450777202E-2</v>
      </c>
      <c r="G46" s="63">
        <f t="shared" si="1"/>
        <v>-9.9666076052883669E-3</v>
      </c>
    </row>
    <row r="47" spans="1:7">
      <c r="A47" s="17">
        <v>39170</v>
      </c>
      <c r="B47" s="24">
        <v>530.75</v>
      </c>
      <c r="C47" s="14">
        <v>1760.88</v>
      </c>
      <c r="D47" s="62">
        <v>0</v>
      </c>
      <c r="E47" s="59">
        <v>1.5</v>
      </c>
      <c r="F47" s="63">
        <f t="shared" si="0"/>
        <v>5.569125549584758E-2</v>
      </c>
      <c r="G47" s="63">
        <f t="shared" si="1"/>
        <v>-1.7113768043135993E-2</v>
      </c>
    </row>
    <row r="48" spans="1:7">
      <c r="A48" s="17">
        <v>39141</v>
      </c>
      <c r="B48" s="24">
        <v>511.75</v>
      </c>
      <c r="C48" s="14">
        <v>1791.54</v>
      </c>
      <c r="D48" s="62">
        <v>0</v>
      </c>
      <c r="E48" s="59">
        <v>1</v>
      </c>
      <c r="F48" s="63">
        <f t="shared" si="0"/>
        <v>-2.8937381404174574E-2</v>
      </c>
      <c r="G48" s="63">
        <f t="shared" si="1"/>
        <v>-7.523034563054351E-3</v>
      </c>
    </row>
    <row r="49" spans="1:7">
      <c r="A49" s="17">
        <v>39113</v>
      </c>
      <c r="B49" s="24">
        <v>527</v>
      </c>
      <c r="C49" s="14">
        <v>1805.1199799999999</v>
      </c>
      <c r="D49" s="62">
        <v>0</v>
      </c>
      <c r="E49" s="59">
        <v>1</v>
      </c>
      <c r="F49" s="63">
        <f t="shared" si="0"/>
        <v>8.6038124678001024E-2</v>
      </c>
      <c r="G49" s="63">
        <f t="shared" si="1"/>
        <v>0.12153387055687753</v>
      </c>
    </row>
    <row r="50" spans="1:7">
      <c r="A50" s="17">
        <v>39079</v>
      </c>
      <c r="B50" s="24">
        <v>485.25</v>
      </c>
      <c r="C50" s="14">
        <v>1609.51</v>
      </c>
      <c r="D50" s="62">
        <v>0</v>
      </c>
      <c r="E50" s="59">
        <v>1</v>
      </c>
      <c r="F50" s="63">
        <f t="shared" si="0"/>
        <v>4.1386445938954991E-3</v>
      </c>
      <c r="G50" s="63">
        <f t="shared" si="1"/>
        <v>5.3833914973580678E-2</v>
      </c>
    </row>
    <row r="51" spans="1:7">
      <c r="A51" s="17">
        <v>39051</v>
      </c>
      <c r="B51" s="24">
        <v>483.25</v>
      </c>
      <c r="C51" s="15">
        <v>1527.29</v>
      </c>
      <c r="D51" s="62">
        <v>0</v>
      </c>
      <c r="E51" s="59">
        <v>1</v>
      </c>
      <c r="F51" s="63">
        <f t="shared" si="0"/>
        <v>-2.1761133603238867E-2</v>
      </c>
      <c r="G51" s="63">
        <f t="shared" si="1"/>
        <v>-9.3146952940032605E-3</v>
      </c>
    </row>
    <row r="52" spans="1:7">
      <c r="A52" s="17">
        <v>39018</v>
      </c>
      <c r="B52" s="19">
        <v>494</v>
      </c>
      <c r="C52" s="14">
        <v>1541.65</v>
      </c>
      <c r="D52" s="62">
        <v>0</v>
      </c>
      <c r="E52" s="59">
        <v>1</v>
      </c>
      <c r="F52" s="63">
        <f t="shared" si="0"/>
        <v>-1.5936254980079681E-2</v>
      </c>
      <c r="G52" s="63">
        <f t="shared" si="1"/>
        <v>-1.336294343148604E-2</v>
      </c>
    </row>
    <row r="53" spans="1:7">
      <c r="A53" s="17">
        <v>38988</v>
      </c>
      <c r="B53" s="19">
        <v>502</v>
      </c>
      <c r="C53" s="14">
        <v>1562.53</v>
      </c>
      <c r="D53" s="62">
        <v>50</v>
      </c>
      <c r="E53" s="59">
        <v>1</v>
      </c>
      <c r="F53" s="63">
        <f t="shared" si="0"/>
        <v>-1.6918967052537846E-2</v>
      </c>
      <c r="G53" s="63">
        <f t="shared" si="1"/>
        <v>-1.5468659424855681E-2</v>
      </c>
    </row>
    <row r="54" spans="1:7">
      <c r="A54" s="17">
        <v>38960</v>
      </c>
      <c r="B54" s="15">
        <v>561.5</v>
      </c>
      <c r="C54" s="14">
        <v>1587.08</v>
      </c>
      <c r="D54" s="62">
        <v>0</v>
      </c>
      <c r="E54" s="59">
        <v>1</v>
      </c>
      <c r="F54" s="63">
        <f t="shared" si="0"/>
        <v>9.4008767657087183E-2</v>
      </c>
      <c r="G54" s="63">
        <f t="shared" si="1"/>
        <v>0.12814097141760436</v>
      </c>
    </row>
    <row r="55" spans="1:7">
      <c r="A55" s="17">
        <v>38929</v>
      </c>
      <c r="B55" s="19">
        <v>513.25</v>
      </c>
      <c r="C55" s="14">
        <v>1406.81</v>
      </c>
      <c r="D55" s="62">
        <v>0</v>
      </c>
      <c r="E55" s="59">
        <v>1</v>
      </c>
      <c r="F55" s="63">
        <f t="shared" si="0"/>
        <v>5.0127877237851663E-2</v>
      </c>
      <c r="G55" s="63">
        <f t="shared" si="1"/>
        <v>5.0234412326803604E-2</v>
      </c>
    </row>
    <row r="56" spans="1:7">
      <c r="A56" s="17">
        <v>38897</v>
      </c>
      <c r="B56" s="15">
        <v>488.75</v>
      </c>
      <c r="C56" s="14">
        <v>1339.52</v>
      </c>
      <c r="D56" s="62">
        <v>0</v>
      </c>
      <c r="E56" s="59">
        <v>1</v>
      </c>
      <c r="F56" s="63">
        <f t="shared" si="0"/>
        <v>-8.4737827715355804E-2</v>
      </c>
      <c r="G56" s="63">
        <f t="shared" si="1"/>
        <v>-1.1453536426968933E-2</v>
      </c>
    </row>
    <row r="57" spans="1:7">
      <c r="A57" s="17">
        <v>38868</v>
      </c>
      <c r="B57" s="15">
        <v>534</v>
      </c>
      <c r="C57" s="14">
        <v>1355.04</v>
      </c>
      <c r="D57" s="62">
        <v>0</v>
      </c>
      <c r="E57" s="59">
        <v>1</v>
      </c>
      <c r="F57" s="63">
        <f t="shared" si="0"/>
        <v>-1.8382352941176471E-2</v>
      </c>
      <c r="G57" s="63">
        <f t="shared" si="1"/>
        <v>-4.576608608138002E-3</v>
      </c>
    </row>
    <row r="58" spans="1:7">
      <c r="A58" s="17">
        <v>38837</v>
      </c>
      <c r="B58" s="24">
        <v>544</v>
      </c>
      <c r="C58" s="14">
        <v>1361.27</v>
      </c>
      <c r="D58" s="62">
        <v>0</v>
      </c>
      <c r="E58" s="59">
        <v>1</v>
      </c>
      <c r="F58" s="63">
        <f t="shared" si="0"/>
        <v>-9.8217985909656025E-2</v>
      </c>
      <c r="G58" s="63">
        <f t="shared" si="1"/>
        <v>-8.7479973454352877E-2</v>
      </c>
    </row>
    <row r="59" spans="1:7">
      <c r="A59" s="17">
        <v>38806</v>
      </c>
      <c r="B59" s="24">
        <v>603.25</v>
      </c>
      <c r="C59" s="14">
        <v>1491.77</v>
      </c>
      <c r="D59" s="62">
        <v>0</v>
      </c>
      <c r="E59" s="59">
        <v>1</v>
      </c>
      <c r="F59" s="63">
        <f t="shared" si="0"/>
        <v>2.1591871295512276E-2</v>
      </c>
      <c r="G59" s="63">
        <f t="shared" si="1"/>
        <v>-2.5897363901712829E-2</v>
      </c>
    </row>
    <row r="60" spans="1:7">
      <c r="A60" s="17">
        <v>38776</v>
      </c>
      <c r="B60" s="19">
        <v>590.5</v>
      </c>
      <c r="C60" s="14">
        <v>1531.43</v>
      </c>
      <c r="D60" s="62">
        <v>0</v>
      </c>
      <c r="E60" s="59">
        <v>1</v>
      </c>
      <c r="F60" s="63">
        <f t="shared" si="0"/>
        <v>-2.7983539094650206E-2</v>
      </c>
      <c r="G60" s="63">
        <f t="shared" si="1"/>
        <v>-6.8099115216571041E-2</v>
      </c>
    </row>
    <row r="61" spans="1:7">
      <c r="A61" s="17">
        <v>38748</v>
      </c>
      <c r="B61" s="19">
        <v>607.5</v>
      </c>
      <c r="C61" s="14">
        <v>1643.34</v>
      </c>
      <c r="D61" s="62">
        <v>0</v>
      </c>
      <c r="E61" s="59">
        <v>1</v>
      </c>
      <c r="F61" s="64"/>
      <c r="G61" s="64"/>
    </row>
    <row r="64" spans="1:7">
      <c r="A64" s="35" t="s">
        <v>79</v>
      </c>
      <c r="B64" s="35">
        <f>COVAR(F2:F60,G2:G60)</f>
        <v>2.9903744192572145E-3</v>
      </c>
    </row>
    <row r="65" spans="1:8">
      <c r="A65" s="35" t="s">
        <v>80</v>
      </c>
      <c r="B65" s="35">
        <f>VAR(G2:G60)</f>
        <v>5.4741571423345793E-3</v>
      </c>
    </row>
    <row r="66" spans="1:8">
      <c r="A66" s="35" t="s">
        <v>81</v>
      </c>
      <c r="B66" s="35">
        <f>B64/B65</f>
        <v>0.54627120513787464</v>
      </c>
    </row>
    <row r="67" spans="1:8">
      <c r="A67" s="35" t="s">
        <v>125</v>
      </c>
      <c r="B67" s="35">
        <f>B66*0.67+0.33*1</f>
        <v>0.69600170744237611</v>
      </c>
    </row>
    <row r="68" spans="1:8">
      <c r="A68" s="35" t="s">
        <v>82</v>
      </c>
      <c r="B68" s="36">
        <f>AVERAGE(G2:G60)</f>
        <v>3.0325562864957006E-2</v>
      </c>
    </row>
    <row r="69" spans="1:8">
      <c r="A69" s="35" t="s">
        <v>83</v>
      </c>
      <c r="B69" s="36">
        <f>B68*(12)</f>
        <v>0.36390675437948405</v>
      </c>
    </row>
    <row r="70" spans="1:8">
      <c r="A70" s="37"/>
      <c r="B70" s="37"/>
    </row>
    <row r="71" spans="1:8">
      <c r="A71" s="37"/>
      <c r="B71" s="37"/>
    </row>
    <row r="72" spans="1:8">
      <c r="A72" s="35" t="s">
        <v>84</v>
      </c>
      <c r="B72" s="37">
        <v>0.08</v>
      </c>
    </row>
    <row r="73" spans="1:8">
      <c r="A73" s="35" t="s">
        <v>82</v>
      </c>
      <c r="B73" s="38">
        <f>B69</f>
        <v>0.36390675437948405</v>
      </c>
    </row>
    <row r="74" spans="1:8">
      <c r="A74" s="65" t="s">
        <v>85</v>
      </c>
      <c r="B74" s="66">
        <f>B72+(B69-B72)*B67</f>
        <v>0.27759958580254418</v>
      </c>
    </row>
    <row r="78" spans="1:8">
      <c r="A78" t="s">
        <v>88</v>
      </c>
      <c r="B78" s="2" t="s">
        <v>102</v>
      </c>
      <c r="C78" s="2" t="s">
        <v>103</v>
      </c>
      <c r="D78" s="2" t="s">
        <v>104</v>
      </c>
      <c r="E78" s="2" t="s">
        <v>105</v>
      </c>
      <c r="F78" s="2" t="s">
        <v>106</v>
      </c>
      <c r="G78" s="2"/>
      <c r="H78" s="2"/>
    </row>
    <row r="79" spans="1:8">
      <c r="A79" t="s">
        <v>144</v>
      </c>
      <c r="B79">
        <f>'BS '!B22+'BS '!B23+'BS '!B18</f>
        <v>242764904</v>
      </c>
      <c r="C79">
        <f>'BS '!C22+'BS '!C23+'BS '!C18</f>
        <v>168930625</v>
      </c>
      <c r="D79">
        <f>'BS '!D22+'BS '!D23+'BS '!D18</f>
        <v>240334940</v>
      </c>
      <c r="E79">
        <f>'BS '!E22+'BS '!E23+'BS '!E18</f>
        <v>141281842</v>
      </c>
      <c r="F79">
        <f>'BS '!F22+'BS '!F23+'BS '!F18</f>
        <v>202401558</v>
      </c>
    </row>
    <row r="80" spans="1:8">
      <c r="A80" t="s">
        <v>145</v>
      </c>
      <c r="C80">
        <f>(B79+C79)/2</f>
        <v>205847764.5</v>
      </c>
      <c r="D80">
        <f t="shared" ref="D80:F80" si="2">(C79+D79)/2</f>
        <v>204632782.5</v>
      </c>
      <c r="E80">
        <f t="shared" si="2"/>
        <v>190808391</v>
      </c>
      <c r="F80">
        <f t="shared" si="2"/>
        <v>171841700</v>
      </c>
    </row>
    <row r="81" spans="1:8">
      <c r="A81" t="s">
        <v>146</v>
      </c>
      <c r="C81">
        <f>IS!C9/'Discount rate '!C80</f>
        <v>0.16640093266594597</v>
      </c>
      <c r="D81">
        <f>IS!D9/'Discount rate '!D80</f>
        <v>0.15045010688842098</v>
      </c>
      <c r="E81">
        <f>IS!E9/'Discount rate '!E80</f>
        <v>0.17592357350783383</v>
      </c>
      <c r="F81">
        <f>IS!F9/'Discount rate '!F80</f>
        <v>0.16491745600747665</v>
      </c>
    </row>
    <row r="82" spans="1:8">
      <c r="A82" t="s">
        <v>147</v>
      </c>
      <c r="F82" s="53">
        <f>AVERAGE(C81:F81)</f>
        <v>0.16442301726741937</v>
      </c>
      <c r="H82" s="53"/>
    </row>
    <row r="85" spans="1:8">
      <c r="A85" t="s">
        <v>149</v>
      </c>
      <c r="B85" s="54">
        <f>B2</f>
        <v>2613.5</v>
      </c>
    </row>
    <row r="86" spans="1:8">
      <c r="A86" t="s">
        <v>150</v>
      </c>
      <c r="B86" s="55">
        <f>'ROI approach '!B20</f>
        <v>720816</v>
      </c>
    </row>
    <row r="87" spans="1:8">
      <c r="A87" t="s">
        <v>148</v>
      </c>
      <c r="B87" s="54">
        <f>B85*B86</f>
        <v>1883852616</v>
      </c>
    </row>
    <row r="88" spans="1:8">
      <c r="A88" t="s">
        <v>151</v>
      </c>
      <c r="B88">
        <f>'BS '!F18+'BS '!F22+'BS '!F23</f>
        <v>202401558</v>
      </c>
    </row>
    <row r="89" spans="1:8">
      <c r="A89" t="s">
        <v>152</v>
      </c>
      <c r="B89">
        <f>(B87/(B87+B88))</f>
        <v>0.90298326995701916</v>
      </c>
    </row>
    <row r="90" spans="1:8">
      <c r="A90" t="s">
        <v>153</v>
      </c>
      <c r="B90">
        <f>1-B89</f>
        <v>9.7016730042980837E-2</v>
      </c>
    </row>
    <row r="93" spans="1:8">
      <c r="A93" s="67" t="s">
        <v>154</v>
      </c>
      <c r="B93" s="68">
        <f>B74*B89+H82*B90*(1-'PM calculation'!F20)</f>
        <v>0.25066778172669546</v>
      </c>
    </row>
    <row r="95" spans="1:8">
      <c r="A95" t="s">
        <v>162</v>
      </c>
      <c r="B95">
        <v>0.02</v>
      </c>
    </row>
    <row r="96" spans="1:8">
      <c r="A96" t="s">
        <v>163</v>
      </c>
      <c r="B96">
        <v>7.0000000000000007E-2</v>
      </c>
    </row>
    <row r="97" spans="1:2">
      <c r="A97" t="s">
        <v>112</v>
      </c>
      <c r="B97">
        <f>B95+B96</f>
        <v>9.0000000000000011E-2</v>
      </c>
    </row>
    <row r="101" spans="1:2">
      <c r="A101" t="s">
        <v>167</v>
      </c>
      <c r="B101" s="33">
        <f>('BS '!F18)/'BS '!F17</f>
        <v>3.5720985503737923E-2</v>
      </c>
    </row>
    <row r="102" spans="1:2">
      <c r="A102" t="s">
        <v>168</v>
      </c>
      <c r="B102" s="56">
        <f>'PM calculation'!F20</f>
        <v>0.28369128386752807</v>
      </c>
    </row>
    <row r="103" spans="1:2">
      <c r="A103" t="s">
        <v>169</v>
      </c>
      <c r="B103">
        <f>B67/((1+(1-B102)*B101))</f>
        <v>0.67863724439486817</v>
      </c>
    </row>
    <row r="104" spans="1:2">
      <c r="A104" t="s">
        <v>170</v>
      </c>
      <c r="B104">
        <f>B103/(1-('BS '!F11/('BS '!F17+'BS '!F18)))</f>
        <v>0.78507231637265107</v>
      </c>
    </row>
    <row r="105" spans="1:2">
      <c r="A105" s="67" t="s">
        <v>91</v>
      </c>
      <c r="B105" s="69">
        <f>B72+(B73-B72)*B104</f>
        <v>0.30288733329454282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32" sqref="F32"/>
    </sheetView>
  </sheetViews>
  <sheetFormatPr baseColWidth="10" defaultColWidth="8.83203125" defaultRowHeight="14" x14ac:dyDescent="0"/>
  <cols>
    <col min="1" max="1" width="31.83203125" customWidth="1"/>
    <col min="2" max="2" width="12.6640625" customWidth="1"/>
    <col min="3" max="4" width="14" customWidth="1"/>
    <col min="5" max="5" width="14.83203125" customWidth="1"/>
    <col min="6" max="6" width="14.1640625" customWidth="1"/>
    <col min="7" max="7" width="14.33203125" customWidth="1"/>
  </cols>
  <sheetData>
    <row r="1" spans="1:7">
      <c r="A1" s="2" t="s">
        <v>88</v>
      </c>
      <c r="B1" s="2" t="s">
        <v>115</v>
      </c>
      <c r="C1" s="2" t="s">
        <v>107</v>
      </c>
      <c r="D1" s="2" t="s">
        <v>108</v>
      </c>
      <c r="E1" s="2" t="s">
        <v>109</v>
      </c>
      <c r="F1" s="2" t="s">
        <v>110</v>
      </c>
      <c r="G1" s="2" t="s">
        <v>111</v>
      </c>
    </row>
    <row r="2" spans="1:7">
      <c r="A2" t="s">
        <v>1</v>
      </c>
      <c r="C2">
        <f>'PM calculation'!F2*1.1986</f>
        <v>746214010.52120006</v>
      </c>
      <c r="D2">
        <f>C2*1.1986</f>
        <v>894412113.01071048</v>
      </c>
      <c r="E2">
        <f t="shared" ref="E2:G2" si="0">D2*1.1986</f>
        <v>1072042358.6546377</v>
      </c>
      <c r="F2">
        <f t="shared" si="0"/>
        <v>1284949971.0834489</v>
      </c>
      <c r="G2">
        <f t="shared" si="0"/>
        <v>1540141035.3406219</v>
      </c>
    </row>
    <row r="3" spans="1:7">
      <c r="A3" t="s">
        <v>89</v>
      </c>
      <c r="C3" s="33">
        <f>'PM calculation'!F17</f>
        <v>0.11968543709417197</v>
      </c>
      <c r="D3" s="33">
        <f>C3</f>
        <v>0.11968543709417197</v>
      </c>
      <c r="E3" s="33">
        <f t="shared" ref="E3:G3" si="1">D3</f>
        <v>0.11968543709417197</v>
      </c>
      <c r="F3" s="33">
        <f t="shared" si="1"/>
        <v>0.11968543709417197</v>
      </c>
      <c r="G3" s="33">
        <f t="shared" si="1"/>
        <v>0.11968543709417197</v>
      </c>
    </row>
    <row r="4" spans="1:7">
      <c r="A4" t="s">
        <v>90</v>
      </c>
      <c r="C4">
        <f>C2*C3</f>
        <v>89310950.015024871</v>
      </c>
      <c r="D4">
        <f t="shared" ref="D4:G4" si="2">D2*D3</f>
        <v>107048104.68800882</v>
      </c>
      <c r="E4">
        <f t="shared" si="2"/>
        <v>128307858.27904738</v>
      </c>
      <c r="F4">
        <f t="shared" si="2"/>
        <v>153789798.93326622</v>
      </c>
      <c r="G4">
        <f t="shared" si="2"/>
        <v>184332453.0014129</v>
      </c>
    </row>
    <row r="5" spans="1:7">
      <c r="A5" t="s">
        <v>65</v>
      </c>
      <c r="C5" s="34">
        <v>1.8533393063420669</v>
      </c>
      <c r="D5" s="34">
        <f>C5</f>
        <v>1.8533393063420669</v>
      </c>
      <c r="E5" s="34">
        <f t="shared" ref="E5:G5" si="3">D5</f>
        <v>1.8533393063420669</v>
      </c>
      <c r="F5" s="34">
        <f t="shared" si="3"/>
        <v>1.8533393063420669</v>
      </c>
      <c r="G5" s="34">
        <f t="shared" si="3"/>
        <v>1.8533393063420669</v>
      </c>
    </row>
    <row r="6" spans="1:7">
      <c r="A6" t="s">
        <v>59</v>
      </c>
      <c r="B6" s="1">
        <f>'ATO '!F4</f>
        <v>395743242</v>
      </c>
      <c r="C6">
        <f>C2/'ATO '!F11</f>
        <v>429076408.95340002</v>
      </c>
      <c r="D6">
        <f>D2/C5</f>
        <v>482594908.52541751</v>
      </c>
      <c r="E6">
        <f t="shared" ref="E6:G6" si="4">E2/D5</f>
        <v>578438257.35856545</v>
      </c>
      <c r="F6">
        <f t="shared" si="4"/>
        <v>693316095.26997662</v>
      </c>
      <c r="G6">
        <f t="shared" si="4"/>
        <v>831008671.7905941</v>
      </c>
    </row>
    <row r="7" spans="1:7">
      <c r="A7" t="s">
        <v>91</v>
      </c>
      <c r="C7">
        <f>'Discount rate '!B105</f>
        <v>0.30288733329454282</v>
      </c>
      <c r="D7">
        <f>C7</f>
        <v>0.30288733329454282</v>
      </c>
      <c r="E7">
        <f t="shared" ref="E7:G7" si="5">D7</f>
        <v>0.30288733329454282</v>
      </c>
      <c r="F7">
        <f t="shared" si="5"/>
        <v>0.30288733329454282</v>
      </c>
      <c r="G7">
        <f t="shared" si="5"/>
        <v>0.30288733329454282</v>
      </c>
    </row>
    <row r="8" spans="1:7">
      <c r="A8" t="s">
        <v>92</v>
      </c>
      <c r="C8">
        <f>B6*C7</f>
        <v>119865615.23871692</v>
      </c>
      <c r="D8">
        <f t="shared" ref="D8:G8" si="6">C6*D7</f>
        <v>129961809.28749402</v>
      </c>
      <c r="E8">
        <f t="shared" si="6"/>
        <v>146171884.90478754</v>
      </c>
      <c r="F8">
        <f t="shared" si="6"/>
        <v>175201621.24687836</v>
      </c>
      <c r="G8">
        <f t="shared" si="6"/>
        <v>209996663.22650841</v>
      </c>
    </row>
    <row r="9" spans="1:7">
      <c r="A9" t="s">
        <v>93</v>
      </c>
      <c r="C9">
        <f>C4-C8</f>
        <v>-30554665.223692045</v>
      </c>
      <c r="D9">
        <f t="shared" ref="D9:G9" si="7">D4-D8</f>
        <v>-22913704.599485204</v>
      </c>
      <c r="E9">
        <f t="shared" si="7"/>
        <v>-17864026.625740156</v>
      </c>
      <c r="F9">
        <f t="shared" si="7"/>
        <v>-21411822.313612133</v>
      </c>
      <c r="G9">
        <f t="shared" si="7"/>
        <v>-25664210.22509551</v>
      </c>
    </row>
    <row r="10" spans="1:7">
      <c r="A10" t="s">
        <v>95</v>
      </c>
      <c r="C10">
        <v>1</v>
      </c>
      <c r="D10">
        <v>2</v>
      </c>
      <c r="E10">
        <v>3</v>
      </c>
      <c r="F10">
        <v>4</v>
      </c>
      <c r="G10">
        <v>5</v>
      </c>
    </row>
    <row r="11" spans="1:7">
      <c r="A11" t="s">
        <v>94</v>
      </c>
      <c r="C11">
        <f>1/(1+C7)^C10</f>
        <v>0.76752607416280005</v>
      </c>
      <c r="D11">
        <f t="shared" ref="D11:G11" si="8">1/(1+D7)^D10</f>
        <v>0.5890962745197601</v>
      </c>
      <c r="E11">
        <f t="shared" si="8"/>
        <v>0.45214675088608258</v>
      </c>
      <c r="F11">
        <f t="shared" si="8"/>
        <v>0.3470344206530605</v>
      </c>
      <c r="G11">
        <f t="shared" si="8"/>
        <v>0.26635796648320526</v>
      </c>
    </row>
    <row r="12" spans="1:7">
      <c r="A12" t="s">
        <v>114</v>
      </c>
      <c r="C12">
        <f>C9*C11</f>
        <v>-23451502.246498987</v>
      </c>
      <c r="D12">
        <f t="shared" ref="D12:G12" si="9">D9*D11</f>
        <v>-13498378.015003026</v>
      </c>
      <c r="E12">
        <f t="shared" si="9"/>
        <v>-8077161.5965708802</v>
      </c>
      <c r="F12">
        <f t="shared" si="9"/>
        <v>-7430639.3517306605</v>
      </c>
      <c r="G12">
        <f t="shared" si="9"/>
        <v>-6835866.8469539238</v>
      </c>
    </row>
    <row r="13" spans="1:7">
      <c r="A13" t="s">
        <v>133</v>
      </c>
      <c r="B13">
        <f>C12+D12+E12+F12+G12</f>
        <v>-59293548.056757472</v>
      </c>
    </row>
    <row r="14" spans="1:7">
      <c r="A14" t="s">
        <v>112</v>
      </c>
      <c r="G14">
        <f>'Discount rate '!B97</f>
        <v>9.0000000000000011E-2</v>
      </c>
    </row>
    <row r="15" spans="1:7">
      <c r="A15" t="s">
        <v>113</v>
      </c>
      <c r="G15">
        <f>(G12*(1+G14))/(C7-G14)</f>
        <v>-35000179.427635215</v>
      </c>
    </row>
    <row r="16" spans="1:7">
      <c r="A16" t="s">
        <v>99</v>
      </c>
      <c r="B16" s="47">
        <f>G15*G11</f>
        <v>-9322576.6188922301</v>
      </c>
    </row>
    <row r="17" spans="1:2">
      <c r="A17" t="s">
        <v>100</v>
      </c>
      <c r="B17" s="47">
        <f>B6</f>
        <v>395743242</v>
      </c>
    </row>
    <row r="18" spans="1:2">
      <c r="A18" t="s">
        <v>116</v>
      </c>
      <c r="B18" s="47">
        <f>'ATO '!F8</f>
        <v>-724995602</v>
      </c>
    </row>
    <row r="19" spans="1:2">
      <c r="A19" t="s">
        <v>101</v>
      </c>
      <c r="B19" s="47">
        <f>B13+B16+B17-(B18)</f>
        <v>1052122719.3243504</v>
      </c>
    </row>
    <row r="20" spans="1:2">
      <c r="A20" t="s">
        <v>128</v>
      </c>
      <c r="B20" s="47">
        <v>720816</v>
      </c>
    </row>
    <row r="21" spans="1:2">
      <c r="A21" t="s">
        <v>130</v>
      </c>
      <c r="B21" s="47">
        <f>B19/B20</f>
        <v>1459.6273103321103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33" sqref="E33"/>
    </sheetView>
  </sheetViews>
  <sheetFormatPr baseColWidth="10" defaultColWidth="8.83203125" defaultRowHeight="14" x14ac:dyDescent="0"/>
  <cols>
    <col min="1" max="1" width="32" customWidth="1"/>
    <col min="2" max="2" width="15.6640625" customWidth="1"/>
    <col min="3" max="3" width="14.83203125" customWidth="1"/>
    <col min="4" max="4" width="14.6640625" customWidth="1"/>
    <col min="5" max="5" width="14.33203125" customWidth="1"/>
    <col min="6" max="6" width="13.33203125" customWidth="1"/>
    <col min="7" max="7" width="14.33203125" customWidth="1"/>
  </cols>
  <sheetData>
    <row r="1" spans="1:7">
      <c r="A1" s="2" t="s">
        <v>88</v>
      </c>
      <c r="B1" s="2" t="s">
        <v>129</v>
      </c>
      <c r="C1" s="2" t="s">
        <v>107</v>
      </c>
      <c r="D1" s="2" t="s">
        <v>108</v>
      </c>
      <c r="E1" s="2" t="s">
        <v>109</v>
      </c>
      <c r="F1" s="2" t="s">
        <v>110</v>
      </c>
      <c r="G1" s="2" t="s">
        <v>111</v>
      </c>
    </row>
    <row r="2" spans="1:7">
      <c r="A2" t="s">
        <v>1</v>
      </c>
      <c r="B2" s="1"/>
      <c r="C2" s="1">
        <f>'PM calculation'!F2*1.1986</f>
        <v>746214010.52120006</v>
      </c>
      <c r="D2" s="1">
        <f>C2*1.1986</f>
        <v>894412113.01071048</v>
      </c>
      <c r="E2" s="1">
        <f t="shared" ref="E2:G2" si="0">D2*1.1986</f>
        <v>1072042358.6546377</v>
      </c>
      <c r="F2" s="1">
        <f t="shared" si="0"/>
        <v>1284949971.0834489</v>
      </c>
      <c r="G2" s="1">
        <f t="shared" si="0"/>
        <v>1540141035.3406219</v>
      </c>
    </row>
    <row r="3" spans="1:7">
      <c r="A3" t="s">
        <v>96</v>
      </c>
      <c r="B3" s="1"/>
      <c r="C3" s="49">
        <f>'PM calculation'!F24</f>
        <v>0.10107284381111217</v>
      </c>
      <c r="D3" s="49">
        <f>C3</f>
        <v>0.10107284381111217</v>
      </c>
      <c r="E3" s="49">
        <f t="shared" ref="E3:G3" si="1">D3</f>
        <v>0.10107284381111217</v>
      </c>
      <c r="F3" s="49">
        <f t="shared" si="1"/>
        <v>0.10107284381111217</v>
      </c>
      <c r="G3" s="49">
        <f t="shared" si="1"/>
        <v>0.10107284381111217</v>
      </c>
    </row>
    <row r="4" spans="1:7">
      <c r="A4" t="s">
        <v>117</v>
      </c>
      <c r="B4" s="1"/>
      <c r="C4" s="1">
        <f>C2*C3</f>
        <v>75421972.135072872</v>
      </c>
      <c r="D4" s="1">
        <f>D2*D3</f>
        <v>90400775.801098347</v>
      </c>
      <c r="E4" s="1">
        <f>E2*E3</f>
        <v>108354369.87519649</v>
      </c>
      <c r="F4" s="1">
        <f>F2*F3</f>
        <v>129873547.73241054</v>
      </c>
      <c r="G4" s="1">
        <f>G2*G3</f>
        <v>155666434.31206727</v>
      </c>
    </row>
    <row r="5" spans="1:7">
      <c r="A5" t="s">
        <v>134</v>
      </c>
      <c r="B5" s="1"/>
      <c r="C5" s="1">
        <f>IS!F24</f>
        <v>0.48238686099610739</v>
      </c>
      <c r="D5" s="1">
        <f>C5</f>
        <v>0.48238686099610739</v>
      </c>
      <c r="E5" s="1">
        <f t="shared" ref="E5:G5" si="2">D5</f>
        <v>0.48238686099610739</v>
      </c>
      <c r="F5" s="1">
        <f t="shared" si="2"/>
        <v>0.48238686099610739</v>
      </c>
      <c r="G5" s="1">
        <f t="shared" si="2"/>
        <v>0.48238686099610739</v>
      </c>
    </row>
    <row r="6" spans="1:7">
      <c r="A6" t="s">
        <v>137</v>
      </c>
      <c r="B6" s="1"/>
      <c r="C6" s="1">
        <f>C4*(1-C5)</f>
        <v>39039403.746699192</v>
      </c>
      <c r="D6" s="1">
        <f t="shared" ref="D6:G6" si="3">D4*(1-D5)</f>
        <v>46792629.330793649</v>
      </c>
      <c r="E6" s="1">
        <f t="shared" si="3"/>
        <v>56085645.515889272</v>
      </c>
      <c r="F6" s="1">
        <f t="shared" si="3"/>
        <v>67224254.715344891</v>
      </c>
      <c r="G6" s="1">
        <f t="shared" si="3"/>
        <v>80574991.701812387</v>
      </c>
    </row>
    <row r="7" spans="1:7">
      <c r="A7" t="s">
        <v>64</v>
      </c>
      <c r="B7" s="1">
        <f>'ATO '!F9</f>
        <v>1120738844</v>
      </c>
      <c r="C7" s="1">
        <f>B7+C6</f>
        <v>1159778247.7466991</v>
      </c>
      <c r="D7" s="1">
        <f>C7+D6</f>
        <v>1206570877.0774927</v>
      </c>
      <c r="E7" s="1">
        <f t="shared" ref="E7:G7" si="4">D7+E6</f>
        <v>1262656522.5933819</v>
      </c>
      <c r="F7" s="1">
        <f t="shared" si="4"/>
        <v>1329880777.3087268</v>
      </c>
      <c r="G7" s="1">
        <f t="shared" si="4"/>
        <v>1410455769.0105391</v>
      </c>
    </row>
    <row r="8" spans="1:7">
      <c r="A8" t="s">
        <v>85</v>
      </c>
      <c r="B8" s="1"/>
      <c r="C8" s="50">
        <f>'Discount rate '!B74</f>
        <v>0.27759958580254418</v>
      </c>
      <c r="D8" s="50">
        <f>C8</f>
        <v>0.27759958580254418</v>
      </c>
      <c r="E8" s="50">
        <f t="shared" ref="E8:G8" si="5">D8</f>
        <v>0.27759958580254418</v>
      </c>
      <c r="F8" s="50">
        <f t="shared" si="5"/>
        <v>0.27759958580254418</v>
      </c>
      <c r="G8" s="50">
        <f t="shared" si="5"/>
        <v>0.27759958580254418</v>
      </c>
    </row>
    <row r="9" spans="1:7">
      <c r="A9" t="s">
        <v>97</v>
      </c>
      <c r="B9" s="1"/>
      <c r="C9" s="46">
        <f>B7*C8</f>
        <v>311116638.88722217</v>
      </c>
      <c r="D9" s="46">
        <f t="shared" ref="D9:G9" si="6">C7*D8</f>
        <v>321953961.19728416</v>
      </c>
      <c r="E9" s="46">
        <f t="shared" si="6"/>
        <v>334943575.71812445</v>
      </c>
      <c r="F9" s="46">
        <f t="shared" si="6"/>
        <v>350512927.68280357</v>
      </c>
      <c r="G9" s="46">
        <f t="shared" si="6"/>
        <v>369174352.94766808</v>
      </c>
    </row>
    <row r="10" spans="1:7">
      <c r="A10" t="s">
        <v>98</v>
      </c>
      <c r="B10" s="1"/>
      <c r="C10" s="46">
        <f>C4-C9</f>
        <v>-235694666.75214928</v>
      </c>
      <c r="D10" s="46">
        <f t="shared" ref="D10:G10" si="7">D4-D9</f>
        <v>-231553185.39618582</v>
      </c>
      <c r="E10" s="46">
        <f t="shared" si="7"/>
        <v>-226589205.84292796</v>
      </c>
      <c r="F10" s="46">
        <f t="shared" si="7"/>
        <v>-220639379.95039302</v>
      </c>
      <c r="G10" s="46">
        <f t="shared" si="7"/>
        <v>-213507918.63560081</v>
      </c>
    </row>
    <row r="11" spans="1:7">
      <c r="A11" t="s">
        <v>95</v>
      </c>
      <c r="B11" s="1"/>
      <c r="C11" s="1">
        <v>1</v>
      </c>
      <c r="D11" s="1">
        <v>2</v>
      </c>
      <c r="E11" s="1">
        <v>3</v>
      </c>
      <c r="F11" s="1">
        <v>4</v>
      </c>
      <c r="G11" s="1">
        <v>5</v>
      </c>
    </row>
    <row r="12" spans="1:7">
      <c r="A12" t="s">
        <v>94</v>
      </c>
      <c r="B12" s="1"/>
      <c r="C12" s="50">
        <f>1/(1+C8)^C11</f>
        <v>0.78271784924838905</v>
      </c>
      <c r="D12" s="50">
        <f t="shared" ref="D12:G12" si="8">1/(1+D8)^D11</f>
        <v>0.61264723153202372</v>
      </c>
      <c r="E12" s="50">
        <f t="shared" si="8"/>
        <v>0.47952992341272549</v>
      </c>
      <c r="F12" s="50">
        <f t="shared" si="8"/>
        <v>0.37533663030385317</v>
      </c>
      <c r="G12" s="50">
        <f t="shared" si="8"/>
        <v>0.29378268001556962</v>
      </c>
    </row>
    <row r="13" spans="1:7">
      <c r="A13" t="s">
        <v>126</v>
      </c>
      <c r="B13" s="45"/>
      <c r="C13" s="45">
        <f>C10*C12</f>
        <v>-184482422.63955808</v>
      </c>
      <c r="D13" s="45">
        <f t="shared" ref="D13:G13" si="9">D10*D12</f>
        <v>-141860417.98539466</v>
      </c>
      <c r="E13" s="45">
        <f t="shared" si="9"/>
        <v>-108656304.52400954</v>
      </c>
      <c r="F13" s="45">
        <f t="shared" si="9"/>
        <v>-82814041.382912055</v>
      </c>
      <c r="G13" s="45">
        <f t="shared" si="9"/>
        <v>-62724928.541312985</v>
      </c>
    </row>
    <row r="14" spans="1:7">
      <c r="A14" t="s">
        <v>138</v>
      </c>
      <c r="B14" s="45">
        <f>C13+D13+E13+F13+G13</f>
        <v>-580538115.07318723</v>
      </c>
      <c r="C14" s="45"/>
      <c r="D14" s="45"/>
      <c r="E14" s="45"/>
      <c r="F14" s="45"/>
      <c r="G14" s="45"/>
    </row>
    <row r="15" spans="1:7">
      <c r="A15" t="s">
        <v>112</v>
      </c>
      <c r="B15" s="1"/>
      <c r="C15" s="1"/>
      <c r="D15" s="1"/>
      <c r="E15" s="1"/>
      <c r="F15" s="1"/>
      <c r="G15" s="1">
        <f>'Discount rate '!B97</f>
        <v>9.0000000000000011E-2</v>
      </c>
    </row>
    <row r="16" spans="1:7">
      <c r="A16" t="s">
        <v>113</v>
      </c>
      <c r="B16" s="1"/>
      <c r="C16" s="1"/>
      <c r="D16" s="1"/>
      <c r="E16" s="1"/>
      <c r="F16" s="1"/>
      <c r="G16" s="1">
        <f>(G13*(1+G15)/(G8-G15))</f>
        <v>-364447351.08313841</v>
      </c>
    </row>
    <row r="17" spans="1:7">
      <c r="A17" t="s">
        <v>99</v>
      </c>
      <c r="B17" s="52">
        <f>G16*G12</f>
        <v>-107068319.5257796</v>
      </c>
      <c r="C17" s="1"/>
      <c r="D17" s="1"/>
      <c r="E17" s="1"/>
      <c r="F17" s="1"/>
      <c r="G17" s="1"/>
    </row>
    <row r="18" spans="1:7">
      <c r="A18" t="s">
        <v>127</v>
      </c>
      <c r="B18" s="1">
        <f>B7</f>
        <v>1120738844</v>
      </c>
      <c r="C18" s="1"/>
      <c r="D18" s="1"/>
      <c r="E18" s="1"/>
      <c r="F18" s="1"/>
      <c r="G18" s="1"/>
    </row>
    <row r="19" spans="1:7">
      <c r="A19" t="s">
        <v>101</v>
      </c>
      <c r="B19" s="50">
        <f>B14+B17+B18</f>
        <v>433132409.40103316</v>
      </c>
      <c r="C19" s="1"/>
      <c r="D19" s="1"/>
      <c r="E19" s="1"/>
      <c r="F19" s="1"/>
      <c r="G19" s="1"/>
    </row>
    <row r="20" spans="1:7">
      <c r="A20" t="s">
        <v>128</v>
      </c>
      <c r="B20" s="1">
        <v>720816</v>
      </c>
      <c r="C20" s="1"/>
      <c r="D20" s="1"/>
      <c r="E20" s="1"/>
      <c r="F20" s="1"/>
      <c r="G20" s="1"/>
    </row>
    <row r="21" spans="1:7">
      <c r="A21" t="s">
        <v>130</v>
      </c>
      <c r="B21" s="48">
        <f>B19/B20</f>
        <v>600.89178015059758</v>
      </c>
      <c r="C21" s="1"/>
      <c r="D21" s="1"/>
      <c r="E21" s="1"/>
      <c r="F21" s="1"/>
      <c r="G21" s="1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31" sqref="E31"/>
    </sheetView>
  </sheetViews>
  <sheetFormatPr baseColWidth="10" defaultColWidth="8.83203125" defaultRowHeight="14" x14ac:dyDescent="0"/>
  <cols>
    <col min="1" max="1" width="30.83203125" customWidth="1"/>
    <col min="2" max="2" width="16.1640625" customWidth="1"/>
    <col min="3" max="3" width="15.6640625" customWidth="1"/>
    <col min="4" max="4" width="15" customWidth="1"/>
    <col min="5" max="5" width="14.83203125" customWidth="1"/>
    <col min="6" max="6" width="15.1640625" customWidth="1"/>
    <col min="7" max="7" width="16.5" customWidth="1"/>
  </cols>
  <sheetData>
    <row r="1" spans="1:8">
      <c r="A1" s="2" t="s">
        <v>88</v>
      </c>
      <c r="B1" s="2" t="s">
        <v>129</v>
      </c>
      <c r="C1" s="2" t="s">
        <v>107</v>
      </c>
      <c r="D1" s="2" t="s">
        <v>108</v>
      </c>
      <c r="E1" s="2" t="s">
        <v>109</v>
      </c>
      <c r="F1" s="2" t="s">
        <v>110</v>
      </c>
      <c r="G1" s="2" t="s">
        <v>111</v>
      </c>
    </row>
    <row r="2" spans="1:8">
      <c r="A2" t="s">
        <v>139</v>
      </c>
      <c r="B2" s="1"/>
      <c r="C2" s="1">
        <f>'RE approach '!C4-'RE approach '!C6</f>
        <v>36382568.38837368</v>
      </c>
      <c r="D2" s="1">
        <f>'RE approach '!D4-'RE approach '!D6</f>
        <v>43608146.470304698</v>
      </c>
      <c r="E2" s="1">
        <f>'RE approach '!E4-'RE approach '!E6</f>
        <v>52268724.359307215</v>
      </c>
      <c r="F2" s="1">
        <f>'RE approach '!F4-'RE approach '!F6</f>
        <v>62649293.017065644</v>
      </c>
      <c r="G2" s="1">
        <f>'RE approach '!G4-'RE approach '!G6</f>
        <v>75091442.610254884</v>
      </c>
      <c r="H2" s="1"/>
    </row>
    <row r="3" spans="1:8">
      <c r="A3" t="s">
        <v>85</v>
      </c>
      <c r="B3" s="1"/>
      <c r="C3" s="50">
        <v>0.28460934416491629</v>
      </c>
      <c r="D3" s="50">
        <v>0.28460934416491629</v>
      </c>
      <c r="E3" s="50">
        <v>0.28460934416491629</v>
      </c>
      <c r="F3" s="50">
        <v>0.28460934416491629</v>
      </c>
      <c r="G3" s="50">
        <v>0.28460934416491629</v>
      </c>
    </row>
    <row r="4" spans="1:8">
      <c r="A4" t="s">
        <v>95</v>
      </c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</row>
    <row r="5" spans="1:8">
      <c r="A5" t="s">
        <v>94</v>
      </c>
      <c r="B5" s="1"/>
      <c r="C5" s="50">
        <v>0.77844677414367425</v>
      </c>
      <c r="D5" s="50">
        <v>0.60597938017469255</v>
      </c>
      <c r="E5" s="50">
        <v>0.47172269369457259</v>
      </c>
      <c r="F5" s="50">
        <v>0.36721100919690453</v>
      </c>
      <c r="G5" s="50">
        <v>0.2858542255393734</v>
      </c>
    </row>
    <row r="6" spans="1:8">
      <c r="A6" t="s">
        <v>140</v>
      </c>
      <c r="B6" s="45"/>
      <c r="C6" s="45">
        <f>C2*C5</f>
        <v>28321892.996991109</v>
      </c>
      <c r="D6" s="45">
        <f t="shared" ref="D6:G6" si="0">D2*D5</f>
        <v>26425637.568642449</v>
      </c>
      <c r="E6" s="45">
        <f t="shared" si="0"/>
        <v>24656343.450751521</v>
      </c>
      <c r="F6" s="45">
        <f t="shared" si="0"/>
        <v>23005510.11426926</v>
      </c>
      <c r="G6" s="45">
        <f t="shared" si="0"/>
        <v>21465206.171988714</v>
      </c>
    </row>
    <row r="7" spans="1:8">
      <c r="A7" t="s">
        <v>141</v>
      </c>
      <c r="B7" s="45">
        <f>C6+D6+E6+F6+G6</f>
        <v>123874590.30264305</v>
      </c>
      <c r="C7" s="45"/>
      <c r="D7" s="45"/>
      <c r="E7" s="45"/>
      <c r="F7" s="45"/>
      <c r="G7" s="45"/>
    </row>
    <row r="8" spans="1:8">
      <c r="A8" t="s">
        <v>112</v>
      </c>
      <c r="B8" s="1"/>
      <c r="C8" s="1"/>
      <c r="D8" s="1"/>
      <c r="E8" s="1"/>
      <c r="F8" s="1"/>
      <c r="G8" s="1">
        <f>'Discount rate '!B97</f>
        <v>9.0000000000000011E-2</v>
      </c>
    </row>
    <row r="9" spans="1:8">
      <c r="A9" t="s">
        <v>113</v>
      </c>
      <c r="B9" s="1"/>
      <c r="C9" s="1"/>
      <c r="D9" s="1"/>
      <c r="E9" s="1"/>
      <c r="F9" s="1"/>
      <c r="G9" s="50">
        <f>G6*1.09/(G3-G8)</f>
        <v>120225854.66215077</v>
      </c>
    </row>
    <row r="10" spans="1:8">
      <c r="A10" t="s">
        <v>99</v>
      </c>
      <c r="B10" s="52">
        <f>G9*G5</f>
        <v>34367068.574258372</v>
      </c>
      <c r="C10" s="1"/>
      <c r="D10" s="1"/>
      <c r="E10" s="1"/>
      <c r="F10" s="1"/>
      <c r="G10" s="1"/>
    </row>
    <row r="11" spans="1:8">
      <c r="A11" t="s">
        <v>101</v>
      </c>
      <c r="B11" s="50">
        <f>B10+B7</f>
        <v>158241658.87690142</v>
      </c>
      <c r="C11" s="1"/>
      <c r="D11" s="1"/>
      <c r="E11" s="1"/>
      <c r="F11" s="1"/>
      <c r="G11" s="1"/>
    </row>
    <row r="12" spans="1:8">
      <c r="A12" t="s">
        <v>128</v>
      </c>
      <c r="B12" s="1">
        <v>720816</v>
      </c>
      <c r="C12" s="1"/>
      <c r="D12" s="1"/>
      <c r="E12" s="1"/>
      <c r="F12" s="1"/>
      <c r="G12" s="1"/>
    </row>
    <row r="13" spans="1:8">
      <c r="A13" t="s">
        <v>130</v>
      </c>
      <c r="B13" s="48">
        <f>B11/B12</f>
        <v>219.53127965653013</v>
      </c>
      <c r="C13" s="1"/>
      <c r="D13" s="1"/>
      <c r="E13" s="1"/>
      <c r="F13" s="1"/>
      <c r="G13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D22" sqref="D22"/>
    </sheetView>
  </sheetViews>
  <sheetFormatPr baseColWidth="10" defaultColWidth="8.83203125" defaultRowHeight="14" x14ac:dyDescent="0"/>
  <cols>
    <col min="1" max="1" width="30.5" customWidth="1"/>
    <col min="2" max="2" width="11" bestFit="1" customWidth="1"/>
    <col min="3" max="3" width="13.83203125" customWidth="1"/>
    <col min="4" max="4" width="15.33203125" customWidth="1"/>
    <col min="5" max="5" width="15.5" customWidth="1"/>
    <col min="6" max="6" width="14.5" customWidth="1"/>
    <col min="7" max="7" width="14.83203125" customWidth="1"/>
  </cols>
  <sheetData>
    <row r="1" spans="1:7">
      <c r="A1" s="2" t="s">
        <v>88</v>
      </c>
      <c r="B1" s="2" t="s">
        <v>129</v>
      </c>
      <c r="C1" s="2" t="s">
        <v>107</v>
      </c>
      <c r="D1" s="2" t="s">
        <v>108</v>
      </c>
      <c r="E1" s="2" t="s">
        <v>109</v>
      </c>
      <c r="F1" s="2" t="s">
        <v>110</v>
      </c>
      <c r="G1" s="2" t="s">
        <v>111</v>
      </c>
    </row>
    <row r="2" spans="1:7">
      <c r="A2" t="s">
        <v>142</v>
      </c>
      <c r="C2">
        <f>'ROI approach '!C4</f>
        <v>89310950.015024871</v>
      </c>
      <c r="D2">
        <f>'ROI approach '!D4</f>
        <v>107048104.68800882</v>
      </c>
      <c r="E2">
        <f>'ROI approach '!E4</f>
        <v>128307858.27904738</v>
      </c>
      <c r="F2">
        <f>'ROI approach '!F4</f>
        <v>153789798.93326622</v>
      </c>
      <c r="G2">
        <f>'ROI approach '!G4</f>
        <v>184332453.0014129</v>
      </c>
    </row>
    <row r="3" spans="1:7">
      <c r="A3" t="s">
        <v>59</v>
      </c>
      <c r="B3">
        <f>'ATO '!F4</f>
        <v>395743242</v>
      </c>
      <c r="C3">
        <f>'ROI approach '!C6</f>
        <v>429076408.95340002</v>
      </c>
      <c r="D3">
        <f>'ROI approach '!D6</f>
        <v>482594908.52541751</v>
      </c>
      <c r="E3">
        <f>'ROI approach '!E6</f>
        <v>578438257.35856545</v>
      </c>
      <c r="F3">
        <f>'ROI approach '!F6</f>
        <v>693316095.26997662</v>
      </c>
      <c r="G3">
        <f>'ROI approach '!G6</f>
        <v>831008671.7905941</v>
      </c>
    </row>
    <row r="4" spans="1:7">
      <c r="A4" t="s">
        <v>60</v>
      </c>
      <c r="C4">
        <f>C3-B3</f>
        <v>33333166.953400016</v>
      </c>
      <c r="D4">
        <f t="shared" ref="D4:G4" si="0">D3-C3</f>
        <v>53518499.572017491</v>
      </c>
      <c r="E4">
        <f t="shared" si="0"/>
        <v>95843348.833147943</v>
      </c>
      <c r="F4">
        <f t="shared" si="0"/>
        <v>114877837.91141117</v>
      </c>
      <c r="G4">
        <f t="shared" si="0"/>
        <v>137692576.52061749</v>
      </c>
    </row>
    <row r="5" spans="1:7">
      <c r="A5" t="s">
        <v>143</v>
      </c>
      <c r="C5">
        <f>C2-C4</f>
        <v>55977783.061624855</v>
      </c>
      <c r="D5">
        <f t="shared" ref="D5:G5" si="1">D2-D4</f>
        <v>53529605.115991324</v>
      </c>
      <c r="E5">
        <f t="shared" si="1"/>
        <v>32464509.445899442</v>
      </c>
      <c r="F5">
        <f t="shared" si="1"/>
        <v>38911961.021855056</v>
      </c>
      <c r="G5">
        <f t="shared" si="1"/>
        <v>46639876.480795413</v>
      </c>
    </row>
    <row r="6" spans="1:7">
      <c r="A6" t="s">
        <v>154</v>
      </c>
      <c r="C6" s="56">
        <f>'Discount rate '!B93</f>
        <v>0.25066778172669546</v>
      </c>
      <c r="D6" s="56">
        <f>C6</f>
        <v>0.25066778172669546</v>
      </c>
      <c r="E6" s="56">
        <f t="shared" ref="E6:G6" si="2">D6</f>
        <v>0.25066778172669546</v>
      </c>
      <c r="F6" s="56">
        <f t="shared" si="2"/>
        <v>0.25066778172669546</v>
      </c>
      <c r="G6" s="56">
        <f t="shared" si="2"/>
        <v>0.25066778172669546</v>
      </c>
    </row>
    <row r="7" spans="1:7">
      <c r="A7" t="s">
        <v>95</v>
      </c>
      <c r="C7">
        <v>1</v>
      </c>
      <c r="D7">
        <v>2</v>
      </c>
      <c r="E7">
        <v>3</v>
      </c>
      <c r="F7">
        <v>4</v>
      </c>
      <c r="G7">
        <v>5</v>
      </c>
    </row>
    <row r="8" spans="1:7">
      <c r="A8" t="s">
        <v>94</v>
      </c>
      <c r="C8">
        <f>1/(1+C6)^C7</f>
        <v>0.79957284789041361</v>
      </c>
      <c r="D8">
        <f t="shared" ref="D8:G8" si="3">1/(1+D6)^D7</f>
        <v>0.63931673908358655</v>
      </c>
      <c r="E8">
        <f t="shared" si="3"/>
        <v>0.51118030577307572</v>
      </c>
      <c r="F8">
        <f t="shared" si="3"/>
        <v>0.40872589287247063</v>
      </c>
      <c r="G8">
        <f t="shared" si="3"/>
        <v>0.32680612617059346</v>
      </c>
    </row>
    <row r="9" spans="1:7">
      <c r="A9" t="s">
        <v>155</v>
      </c>
      <c r="C9">
        <f>C5*C8</f>
        <v>44758315.421175145</v>
      </c>
      <c r="D9">
        <f t="shared" ref="D9:G9" si="4">D5*D8</f>
        <v>34222372.587187648</v>
      </c>
      <c r="E9">
        <f t="shared" si="4"/>
        <v>16595217.865327781</v>
      </c>
      <c r="F9">
        <f t="shared" si="4"/>
        <v>15904326.012076482</v>
      </c>
      <c r="G9">
        <f t="shared" si="4"/>
        <v>15242197.357763721</v>
      </c>
    </row>
    <row r="10" spans="1:7">
      <c r="A10" t="s">
        <v>157</v>
      </c>
      <c r="B10">
        <f>C9+D9+E9+F9+G9</f>
        <v>126722429.24353078</v>
      </c>
    </row>
    <row r="11" spans="1:7">
      <c r="A11" t="s">
        <v>112</v>
      </c>
      <c r="G11">
        <f>'Discount rate '!B97</f>
        <v>9.0000000000000011E-2</v>
      </c>
    </row>
    <row r="12" spans="1:7">
      <c r="A12" t="s">
        <v>113</v>
      </c>
      <c r="G12">
        <f>G5*1.09/(G6-G11)</f>
        <v>316413563.55155432</v>
      </c>
    </row>
    <row r="13" spans="1:7">
      <c r="A13" t="s">
        <v>99</v>
      </c>
      <c r="B13">
        <f>G12*G8</f>
        <v>103405890.97211635</v>
      </c>
    </row>
    <row r="14" spans="1:7">
      <c r="A14" t="s">
        <v>156</v>
      </c>
      <c r="B14">
        <f>B10+B13</f>
        <v>230128320.21564713</v>
      </c>
    </row>
    <row r="15" spans="1:7">
      <c r="A15" t="s">
        <v>164</v>
      </c>
      <c r="B15">
        <f>'BS '!F18+'BS '!F22+'BS '!F23</f>
        <v>202401558</v>
      </c>
    </row>
    <row r="16" spans="1:7">
      <c r="A16" t="s">
        <v>101</v>
      </c>
      <c r="B16">
        <f>B14-B15</f>
        <v>27726762.215647131</v>
      </c>
    </row>
    <row r="17" spans="1:2">
      <c r="A17" t="s">
        <v>128</v>
      </c>
      <c r="B17">
        <f>'DDM '!B12</f>
        <v>720816</v>
      </c>
    </row>
    <row r="18" spans="1:2">
      <c r="A18" t="s">
        <v>130</v>
      </c>
      <c r="B18">
        <f>B16/B17</f>
        <v>38.465797395794674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IS</vt:lpstr>
      <vt:lpstr>PM calculation</vt:lpstr>
      <vt:lpstr>BS </vt:lpstr>
      <vt:lpstr>ATO </vt:lpstr>
      <vt:lpstr>Discount rate </vt:lpstr>
      <vt:lpstr>ROI approach </vt:lpstr>
      <vt:lpstr>RE approach </vt:lpstr>
      <vt:lpstr>DDM </vt:lpstr>
      <vt:lpstr>FCF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</dc:creator>
  <cp:lastModifiedBy>Department of Finance</cp:lastModifiedBy>
  <dcterms:created xsi:type="dcterms:W3CDTF">2015-12-13T06:53:23Z</dcterms:created>
  <dcterms:modified xsi:type="dcterms:W3CDTF">2017-01-14T05:04:31Z</dcterms:modified>
</cp:coreProperties>
</file>