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60" windowHeight="9220" activeTab="0"/>
  </bookViews>
  <sheets>
    <sheet name="Income statement " sheetId="1" r:id="rId1"/>
    <sheet name="Balance sheet " sheetId="2" r:id="rId2"/>
    <sheet name="Calculation " sheetId="3" r:id="rId3"/>
    <sheet name="Assumptions made " sheetId="4" r:id="rId4"/>
    <sheet name="Beta calculation" sheetId="5" r:id="rId5"/>
    <sheet name="Proforma Income statement " sheetId="6" r:id="rId6"/>
    <sheet name="Proforma Balance sheet" sheetId="7" r:id="rId7"/>
    <sheet name="WACC" sheetId="8" r:id="rId8"/>
    <sheet name="Change in WC" sheetId="9" r:id="rId9"/>
    <sheet name="Free cash flow and valuation " sheetId="10" r:id="rId10"/>
  </sheets>
  <definedNames/>
  <calcPr fullCalcOnLoad="1" iterate="1" iterateCount="130" iterateDelta="0.001"/>
</workbook>
</file>

<file path=xl/sharedStrings.xml><?xml version="1.0" encoding="utf-8"?>
<sst xmlns="http://schemas.openxmlformats.org/spreadsheetml/2006/main" count="207" uniqueCount="131">
  <si>
    <t xml:space="preserve">Particulars </t>
  </si>
  <si>
    <t xml:space="preserve">Sales </t>
  </si>
  <si>
    <t xml:space="preserve">Less: COGS </t>
  </si>
  <si>
    <t xml:space="preserve">Gross profit </t>
  </si>
  <si>
    <t>Less: Operating expense</t>
  </si>
  <si>
    <t>Operating profit</t>
  </si>
  <si>
    <t xml:space="preserve">Plus: Other income </t>
  </si>
  <si>
    <t xml:space="preserve">Plus: Interest income </t>
  </si>
  <si>
    <t>Less: Contribution to WPPF</t>
  </si>
  <si>
    <t xml:space="preserve">EBT </t>
  </si>
  <si>
    <t>Less: Tax</t>
  </si>
  <si>
    <t xml:space="preserve">Net income </t>
  </si>
  <si>
    <t xml:space="preserve">Less: Dividend </t>
  </si>
  <si>
    <t xml:space="preserve">Transfer to the reserve </t>
  </si>
  <si>
    <t>Less: Interest expense</t>
  </si>
  <si>
    <t xml:space="preserve">Particular </t>
  </si>
  <si>
    <t>PPE</t>
  </si>
  <si>
    <t>Investment</t>
  </si>
  <si>
    <t>Total fixed asset</t>
  </si>
  <si>
    <t>Inventory</t>
  </si>
  <si>
    <t>Accounts receivable</t>
  </si>
  <si>
    <t xml:space="preserve">Advance and prepayment </t>
  </si>
  <si>
    <t>Other asset 1</t>
  </si>
  <si>
    <t xml:space="preserve">Other asset 2 </t>
  </si>
  <si>
    <t xml:space="preserve">Cash </t>
  </si>
  <si>
    <t xml:space="preserve">Total curent asset </t>
  </si>
  <si>
    <t xml:space="preserve">Total asset </t>
  </si>
  <si>
    <t xml:space="preserve">Share capital </t>
  </si>
  <si>
    <t xml:space="preserve">Reserve &amp; Surplus </t>
  </si>
  <si>
    <t xml:space="preserve">Total equity </t>
  </si>
  <si>
    <t xml:space="preserve">Long-term loan </t>
  </si>
  <si>
    <t xml:space="preserve">Total long-term liability </t>
  </si>
  <si>
    <t xml:space="preserve">Short-term loan </t>
  </si>
  <si>
    <t xml:space="preserve">Current portion of LTD </t>
  </si>
  <si>
    <t xml:space="preserve">Accounts payable </t>
  </si>
  <si>
    <t>Accrued expenses</t>
  </si>
  <si>
    <t xml:space="preserve">Other liabilities </t>
  </si>
  <si>
    <t>Provision 1</t>
  </si>
  <si>
    <t>Provision 2</t>
  </si>
  <si>
    <t xml:space="preserve">Total current liability </t>
  </si>
  <si>
    <t xml:space="preserve">Total liabilities </t>
  </si>
  <si>
    <t xml:space="preserve">Total equity &amp; liabilities </t>
  </si>
  <si>
    <t>Deferred 1</t>
  </si>
  <si>
    <t>Deferred 2</t>
  </si>
  <si>
    <t xml:space="preserve">Depreciation </t>
  </si>
  <si>
    <t>30/12/2010</t>
  </si>
  <si>
    <t>30/11/2010</t>
  </si>
  <si>
    <t>31/10/2010</t>
  </si>
  <si>
    <t>30/09/2010</t>
  </si>
  <si>
    <t>31/08/2010</t>
  </si>
  <si>
    <t>29/07/2010</t>
  </si>
  <si>
    <t>30/06/2010</t>
  </si>
  <si>
    <t xml:space="preserve">Time </t>
  </si>
  <si>
    <t xml:space="preserve">Monthly closing - BDL </t>
  </si>
  <si>
    <t xml:space="preserve">DGEN </t>
  </si>
  <si>
    <t xml:space="preserve">Number of outstanding shares </t>
  </si>
  <si>
    <t xml:space="preserve">Sales growth rate </t>
  </si>
  <si>
    <t xml:space="preserve">Average sales growth rate </t>
  </si>
  <si>
    <t xml:space="preserve">COGS in proportion to sales </t>
  </si>
  <si>
    <t xml:space="preserve">Average proportion </t>
  </si>
  <si>
    <t xml:space="preserve">Operating expense in proportion to sales </t>
  </si>
  <si>
    <t xml:space="preserve">Growth rate of other income </t>
  </si>
  <si>
    <t xml:space="preserve">Rate of return on investment </t>
  </si>
  <si>
    <t xml:space="preserve">Average </t>
  </si>
  <si>
    <t xml:space="preserve">Growth rate of investment </t>
  </si>
  <si>
    <t xml:space="preserve">Normalized average </t>
  </si>
  <si>
    <t xml:space="preserve">Total loan </t>
  </si>
  <si>
    <t xml:space="preserve">Average loan </t>
  </si>
  <si>
    <t xml:space="preserve">Interest rate </t>
  </si>
  <si>
    <t xml:space="preserve">Average interest rate </t>
  </si>
  <si>
    <t xml:space="preserve">Short-term loan in proportion to sales </t>
  </si>
  <si>
    <t xml:space="preserve">Growth rate of PPE </t>
  </si>
  <si>
    <t xml:space="preserve">Average growth rate </t>
  </si>
  <si>
    <t xml:space="preserve">Cash inflow from sale of assets </t>
  </si>
  <si>
    <t xml:space="preserve">Proportion of contribution to WPPF to sales </t>
  </si>
  <si>
    <t xml:space="preserve">Tax rate </t>
  </si>
  <si>
    <t xml:space="preserve">Dividend payout ratio </t>
  </si>
  <si>
    <t xml:space="preserve">Average dividend payout ratio </t>
  </si>
  <si>
    <t xml:space="preserve">Depreciation rate </t>
  </si>
  <si>
    <t xml:space="preserve">Other fixed asset </t>
  </si>
  <si>
    <t xml:space="preserve">Growth rate of other fixed asset </t>
  </si>
  <si>
    <t xml:space="preserve">Normalized growth rate </t>
  </si>
  <si>
    <t xml:space="preserve">Inventory in proportion to sales </t>
  </si>
  <si>
    <t xml:space="preserve">Accounts receivable in proportion to sales </t>
  </si>
  <si>
    <t xml:space="preserve">Advance &amp; prepayment in proportion to sales </t>
  </si>
  <si>
    <t xml:space="preserve">Other asset 1 in proportion to sales </t>
  </si>
  <si>
    <t xml:space="preserve">Growth rate of deferred 1 </t>
  </si>
  <si>
    <t xml:space="preserve">Growth rate of deferred 2 </t>
  </si>
  <si>
    <t xml:space="preserve">Accounts payable in proportion to sales </t>
  </si>
  <si>
    <t xml:space="preserve">Accrued expenses in proportion to sales </t>
  </si>
  <si>
    <t xml:space="preserve">Other liabilities in proportion to sales </t>
  </si>
  <si>
    <t xml:space="preserve">Provision 1 in proportion to sales </t>
  </si>
  <si>
    <t xml:space="preserve">Provision 2 in proportion to sales </t>
  </si>
  <si>
    <t xml:space="preserve">Covariance </t>
  </si>
  <si>
    <t xml:space="preserve">BDL return </t>
  </si>
  <si>
    <t xml:space="preserve">DGEN return </t>
  </si>
  <si>
    <t xml:space="preserve">Variance of market return </t>
  </si>
  <si>
    <t xml:space="preserve">Beta </t>
  </si>
  <si>
    <t xml:space="preserve">Market return </t>
  </si>
  <si>
    <t xml:space="preserve">Market return -yearly </t>
  </si>
  <si>
    <t xml:space="preserve">Non-cash current asset </t>
  </si>
  <si>
    <t xml:space="preserve">Working capital </t>
  </si>
  <si>
    <t xml:space="preserve">EBIT </t>
  </si>
  <si>
    <t>EBIT (1-tax rate)</t>
  </si>
  <si>
    <t>Capital expenditure</t>
  </si>
  <si>
    <t xml:space="preserve">Change in NWC </t>
  </si>
  <si>
    <t xml:space="preserve">Risk-free rate </t>
  </si>
  <si>
    <t xml:space="preserve">Cost of equity </t>
  </si>
  <si>
    <t xml:space="preserve">Cost of debt </t>
  </si>
  <si>
    <t xml:space="preserve">After tax cost of debt </t>
  </si>
  <si>
    <t xml:space="preserve">Total market value of equity </t>
  </si>
  <si>
    <t xml:space="preserve">Weight of equity </t>
  </si>
  <si>
    <t xml:space="preserve">Weight of debt </t>
  </si>
  <si>
    <t>WACC</t>
  </si>
  <si>
    <t xml:space="preserve">Present value discount factor </t>
  </si>
  <si>
    <t>Present value of free cashflow</t>
  </si>
  <si>
    <t xml:space="preserve">Free cashflow </t>
  </si>
  <si>
    <t xml:space="preserve">Terminal value </t>
  </si>
  <si>
    <t xml:space="preserve">Enterprise value </t>
  </si>
  <si>
    <t xml:space="preserve">Equity value </t>
  </si>
  <si>
    <t xml:space="preserve">Value per share </t>
  </si>
  <si>
    <t>Change in WC</t>
  </si>
  <si>
    <t xml:space="preserve">Book value of debt </t>
  </si>
  <si>
    <t xml:space="preserve">Non- STD Current liabilities </t>
  </si>
  <si>
    <t xml:space="preserve">Interest-bearing debt </t>
  </si>
  <si>
    <t xml:space="preserve">1. Perpetual growth rate is 2%. </t>
  </si>
  <si>
    <t xml:space="preserve">2. Capital expenditures will be financed by long-term loan. </t>
  </si>
  <si>
    <t xml:space="preserve">3. Since there was no purchase of PPE, it was assumed that the existing long-term loan will be repaid by three equal-yearly installments. </t>
  </si>
  <si>
    <t xml:space="preserve">4. Risk-free rate is 8%. </t>
  </si>
  <si>
    <t xml:space="preserve">5. For maintaining a no-artitrage scenario, the return from investment was considered to be equal to the interest rate. </t>
  </si>
  <si>
    <t xml:space="preserve">6. To normalize the affairs it was assumed that BDL's investment will increase by 15% rate each year.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</si>
</sst>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/mm/\ yyyy"/>
    <numFmt numFmtId="166" formatCode="_(* #,##0.000_);_(* \(#,##0.000\);_(* &quot;-&quot;??_);_(@_)"/>
    <numFmt numFmtId="167" formatCode="_(* #,##0.0000_);_(* \(#,##0.00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sz val="8"/>
      <name val="Arial"/>
      <family val="0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6" fillId="0" borderId="0" xfId="0" applyNumberFormat="1" applyFont="1" applyFill="1" applyAlignment="1">
      <alignment horizontal="right"/>
    </xf>
    <xf numFmtId="164" fontId="5" fillId="0" borderId="1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43" fontId="4" fillId="0" borderId="0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4" fillId="0" borderId="0" xfId="42" applyFont="1" applyFill="1" applyAlignment="1">
      <alignment/>
    </xf>
    <xf numFmtId="0" fontId="4" fillId="0" borderId="0" xfId="0" applyFont="1" applyFill="1" applyAlignment="1">
      <alignment/>
    </xf>
    <xf numFmtId="43" fontId="6" fillId="0" borderId="0" xfId="42" applyFont="1" applyFill="1" applyBorder="1" applyAlignment="1">
      <alignment/>
    </xf>
    <xf numFmtId="43" fontId="6" fillId="0" borderId="0" xfId="42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43" fontId="6" fillId="0" borderId="12" xfId="42" applyFont="1" applyFill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/>
    </xf>
    <xf numFmtId="43" fontId="6" fillId="0" borderId="12" xfId="42" applyFont="1" applyBorder="1" applyAlignment="1">
      <alignment horizontal="right"/>
    </xf>
    <xf numFmtId="43" fontId="6" fillId="0" borderId="12" xfId="42" applyFont="1" applyBorder="1" applyAlignment="1">
      <alignment horizontal="left"/>
    </xf>
    <xf numFmtId="43" fontId="6" fillId="33" borderId="12" xfId="42" applyFont="1" applyFill="1" applyBorder="1" applyAlignment="1">
      <alignment/>
    </xf>
    <xf numFmtId="43" fontId="6" fillId="0" borderId="12" xfId="42" applyFont="1" applyFill="1" applyBorder="1" applyAlignment="1">
      <alignment/>
    </xf>
    <xf numFmtId="43" fontId="6" fillId="0" borderId="12" xfId="42" applyFont="1" applyFill="1" applyBorder="1" applyAlignment="1">
      <alignment horizontal="right"/>
    </xf>
    <xf numFmtId="0" fontId="0" fillId="0" borderId="0" xfId="0" applyFont="1" applyAlignment="1">
      <alignment/>
    </xf>
    <xf numFmtId="43" fontId="8" fillId="0" borderId="12" xfId="42" applyFont="1" applyBorder="1" applyAlignment="1">
      <alignment/>
    </xf>
    <xf numFmtId="43" fontId="0" fillId="0" borderId="0" xfId="42" applyFont="1" applyFill="1" applyAlignment="1">
      <alignment/>
    </xf>
    <xf numFmtId="43" fontId="8" fillId="0" borderId="0" xfId="42" applyFont="1" applyFill="1" applyAlignment="1">
      <alignment/>
    </xf>
    <xf numFmtId="43" fontId="8" fillId="0" borderId="12" xfId="42" applyFont="1" applyBorder="1" applyAlignment="1">
      <alignment/>
    </xf>
    <xf numFmtId="43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E26" sqref="E26"/>
    </sheetView>
  </sheetViews>
  <sheetFormatPr defaultColWidth="8.8515625" defaultRowHeight="12.75"/>
  <cols>
    <col min="1" max="1" width="24.00390625" style="0" customWidth="1"/>
    <col min="2" max="2" width="11.140625" style="0" customWidth="1"/>
    <col min="3" max="3" width="10.8515625" style="0" customWidth="1"/>
    <col min="4" max="4" width="10.7109375" style="0" customWidth="1"/>
    <col min="5" max="6" width="11.421875" style="0" customWidth="1"/>
  </cols>
  <sheetData>
    <row r="1" spans="1:6" ht="12">
      <c r="A1" s="1" t="s">
        <v>0</v>
      </c>
      <c r="B1" s="1">
        <v>2006</v>
      </c>
      <c r="C1" s="1">
        <v>2007</v>
      </c>
      <c r="D1" s="1">
        <v>2008</v>
      </c>
      <c r="E1" s="1">
        <v>2009</v>
      </c>
      <c r="F1" s="1">
        <v>2010</v>
      </c>
    </row>
    <row r="2" spans="1:6" ht="12">
      <c r="A2" t="s">
        <v>1</v>
      </c>
      <c r="B2">
        <v>317293796</v>
      </c>
      <c r="C2">
        <v>351224428</v>
      </c>
      <c r="D2">
        <v>537971989</v>
      </c>
      <c r="E2">
        <v>615330715</v>
      </c>
      <c r="F2">
        <v>622571342</v>
      </c>
    </row>
    <row r="3" spans="1:6" ht="12">
      <c r="A3" s="27" t="s">
        <v>2</v>
      </c>
      <c r="B3" s="27">
        <v>239488002</v>
      </c>
      <c r="C3" s="27">
        <v>269673407</v>
      </c>
      <c r="D3" s="27">
        <v>429824201</v>
      </c>
      <c r="E3" s="27">
        <v>502808649</v>
      </c>
      <c r="F3" s="27">
        <v>476340355</v>
      </c>
    </row>
    <row r="4" spans="1:6" ht="12">
      <c r="A4" s="27" t="s">
        <v>3</v>
      </c>
      <c r="B4" s="27">
        <f>B2-B3</f>
        <v>77805794</v>
      </c>
      <c r="C4" s="27">
        <f>C2-C3</f>
        <v>81551021</v>
      </c>
      <c r="D4" s="27">
        <f>D2-D3</f>
        <v>108147788</v>
      </c>
      <c r="E4" s="27">
        <f>E2-E3</f>
        <v>112522066</v>
      </c>
      <c r="F4" s="27">
        <f>F2-F3</f>
        <v>146230987</v>
      </c>
    </row>
    <row r="5" spans="1:6" ht="12">
      <c r="A5" s="27" t="s">
        <v>4</v>
      </c>
      <c r="B5" s="27">
        <v>18532365</v>
      </c>
      <c r="C5" s="27">
        <v>19884118</v>
      </c>
      <c r="D5" s="27">
        <v>28009440</v>
      </c>
      <c r="E5" s="27">
        <v>29791885</v>
      </c>
      <c r="F5" s="27">
        <v>65098163</v>
      </c>
    </row>
    <row r="6" spans="1:6" ht="12">
      <c r="A6" s="27" t="s">
        <v>5</v>
      </c>
      <c r="B6" s="27">
        <f>B4-B5</f>
        <v>59273429</v>
      </c>
      <c r="C6" s="27">
        <f>C4-C5</f>
        <v>61666903</v>
      </c>
      <c r="D6" s="27">
        <f>D4-D5</f>
        <v>80138348</v>
      </c>
      <c r="E6" s="27">
        <f>E4-E5</f>
        <v>82730181</v>
      </c>
      <c r="F6" s="27">
        <f>F4-F5</f>
        <v>81132824</v>
      </c>
    </row>
    <row r="7" spans="1:6" ht="12">
      <c r="A7" s="27" t="s">
        <v>6</v>
      </c>
      <c r="B7" s="27">
        <v>9350369</v>
      </c>
      <c r="C7" s="27">
        <v>7948142</v>
      </c>
      <c r="D7" s="27">
        <v>7643000</v>
      </c>
      <c r="E7" s="27">
        <v>11093380</v>
      </c>
      <c r="F7" s="27">
        <v>12305433</v>
      </c>
    </row>
    <row r="8" spans="1:6" ht="12">
      <c r="A8" s="27" t="s">
        <v>7</v>
      </c>
      <c r="B8" s="27">
        <v>18343691</v>
      </c>
      <c r="C8" s="27">
        <v>20871759</v>
      </c>
      <c r="D8" s="27">
        <v>18132099</v>
      </c>
      <c r="E8" s="27">
        <v>21650392</v>
      </c>
      <c r="F8" s="27">
        <v>20626830</v>
      </c>
    </row>
    <row r="9" spans="1:6" ht="12">
      <c r="A9" s="27" t="s">
        <v>14</v>
      </c>
      <c r="B9" s="27">
        <v>31111827</v>
      </c>
      <c r="C9" s="27">
        <v>34253260</v>
      </c>
      <c r="D9" s="27">
        <v>30787024</v>
      </c>
      <c r="E9" s="27">
        <v>33567694</v>
      </c>
      <c r="F9" s="27">
        <v>28339696</v>
      </c>
    </row>
    <row r="10" spans="1:6" ht="12">
      <c r="A10" s="27" t="s">
        <v>8</v>
      </c>
      <c r="B10" s="27">
        <v>2659793</v>
      </c>
      <c r="C10" s="27">
        <v>2677788</v>
      </c>
      <c r="D10" s="27">
        <v>3577449</v>
      </c>
      <c r="E10" s="27">
        <v>3900298</v>
      </c>
      <c r="F10" s="27">
        <v>4082161</v>
      </c>
    </row>
    <row r="11" spans="1:6" ht="12">
      <c r="A11" s="27" t="s">
        <v>9</v>
      </c>
      <c r="B11" s="27">
        <f>B6+B7+B8-B9-B10</f>
        <v>53195869</v>
      </c>
      <c r="C11" s="27">
        <f>C6+C7+C8-C9-C10</f>
        <v>53555756</v>
      </c>
      <c r="D11" s="27">
        <f>D6+D7+D8-D9-D10</f>
        <v>71548974</v>
      </c>
      <c r="E11" s="27">
        <f>E6+E7+E8-E9-E10</f>
        <v>78005961</v>
      </c>
      <c r="F11" s="27">
        <f>F6+F7+F8-F9-F10</f>
        <v>81643230</v>
      </c>
    </row>
    <row r="12" spans="1:6" ht="12">
      <c r="A12" s="27" t="s">
        <v>10</v>
      </c>
      <c r="B12" s="27">
        <v>19065917</v>
      </c>
      <c r="C12" s="27">
        <v>18187710</v>
      </c>
      <c r="D12" s="27">
        <v>16229825</v>
      </c>
      <c r="E12" s="27">
        <v>19497071</v>
      </c>
      <c r="F12" s="27">
        <v>19893588</v>
      </c>
    </row>
    <row r="13" spans="1:6" ht="12">
      <c r="A13" s="27" t="s">
        <v>11</v>
      </c>
      <c r="B13" s="27">
        <f>B11-B12</f>
        <v>34129952</v>
      </c>
      <c r="C13" s="27">
        <f>C11-C12</f>
        <v>35368046</v>
      </c>
      <c r="D13" s="27">
        <f>D11-D12</f>
        <v>55319149</v>
      </c>
      <c r="E13" s="27">
        <f>E11-E12</f>
        <v>58508890</v>
      </c>
      <c r="F13" s="27">
        <f>F11-F12</f>
        <v>61749642</v>
      </c>
    </row>
    <row r="14" spans="1:6" ht="12">
      <c r="A14" s="27" t="s">
        <v>12</v>
      </c>
      <c r="B14" s="27">
        <v>19988456</v>
      </c>
      <c r="C14" s="27">
        <v>11079769</v>
      </c>
      <c r="D14" s="27">
        <v>20945349</v>
      </c>
      <c r="E14" s="27">
        <v>33572839</v>
      </c>
      <c r="F14" s="27">
        <v>34615086</v>
      </c>
    </row>
    <row r="15" spans="1:6" ht="12">
      <c r="A15" s="27" t="s">
        <v>13</v>
      </c>
      <c r="B15" s="27">
        <f>B13-B14</f>
        <v>14141496</v>
      </c>
      <c r="C15" s="27">
        <f>C13-C14</f>
        <v>24288277</v>
      </c>
      <c r="D15" s="27">
        <f>D13-D14</f>
        <v>34373800</v>
      </c>
      <c r="E15" s="27">
        <f>E13-E14</f>
        <v>24936051</v>
      </c>
      <c r="F15" s="27">
        <f>F13-F14</f>
        <v>27134556</v>
      </c>
    </row>
    <row r="19" spans="1:6" ht="12">
      <c r="A19" t="s">
        <v>44</v>
      </c>
      <c r="B19">
        <v>17820931</v>
      </c>
      <c r="C19">
        <v>17946604</v>
      </c>
      <c r="D19">
        <v>18439932</v>
      </c>
      <c r="E19">
        <v>18699685</v>
      </c>
      <c r="F19">
        <v>18842563</v>
      </c>
    </row>
    <row r="24" ht="12">
      <c r="F24" s="2"/>
    </row>
    <row r="27" ht="12">
      <c r="G27" s="3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E20" sqref="E20"/>
    </sheetView>
  </sheetViews>
  <sheetFormatPr defaultColWidth="8.8515625" defaultRowHeight="12.75"/>
  <cols>
    <col min="1" max="1" width="25.421875" style="0" customWidth="1"/>
    <col min="2" max="2" width="13.00390625" style="0" customWidth="1"/>
    <col min="3" max="3" width="12.421875" style="0" customWidth="1"/>
    <col min="4" max="4" width="13.00390625" style="0" customWidth="1"/>
    <col min="5" max="5" width="12.28125" style="0" customWidth="1"/>
  </cols>
  <sheetData>
    <row r="1" spans="1:5" ht="12">
      <c r="A1" s="1" t="s">
        <v>0</v>
      </c>
      <c r="B1" s="1">
        <v>2011</v>
      </c>
      <c r="C1" s="1">
        <v>2012</v>
      </c>
      <c r="D1" s="1">
        <v>2013</v>
      </c>
      <c r="E1" s="1">
        <v>2014</v>
      </c>
    </row>
    <row r="2" spans="1:4" ht="12">
      <c r="A2" s="27" t="s">
        <v>102</v>
      </c>
      <c r="B2">
        <f>'Proforma Income statement '!C6+'Proforma Income statement '!C7+'Proforma Income statement '!C8-'Proforma Income statement '!C10</f>
        <v>279031222.54884076</v>
      </c>
      <c r="C2">
        <f>'Proforma Income statement '!D6+'Proforma Income statement '!D7+'Proforma Income statement '!D8-'Proforma Income statement '!D10</f>
        <v>325486254.0546092</v>
      </c>
      <c r="D2">
        <f>'Proforma Income statement '!E6+'Proforma Income statement '!E7+'Proforma Income statement '!E8-'Proforma Income statement '!E10</f>
        <v>379903683.7998029</v>
      </c>
    </row>
    <row r="3" spans="1:4" ht="12">
      <c r="A3" s="27" t="s">
        <v>103</v>
      </c>
      <c r="B3">
        <f>B2*(1-'Calculation '!G38)</f>
        <v>199872496.78483418</v>
      </c>
      <c r="C3">
        <f>C2*(1-'Calculation '!H38)</f>
        <v>233148640.76062468</v>
      </c>
      <c r="D3">
        <f>D2*(1-'Calculation '!I38)</f>
        <v>272128319.9966334</v>
      </c>
    </row>
    <row r="4" spans="1:4" ht="12">
      <c r="A4" s="27" t="s">
        <v>44</v>
      </c>
      <c r="B4">
        <f>18842563-('Calculation '!G32*'Calculation '!G44)</f>
        <v>17441213.484883294</v>
      </c>
      <c r="C4">
        <f>18842563-('Calculation '!H32*'Calculation '!H44)</f>
        <v>17567235.708736584</v>
      </c>
      <c r="D4">
        <f>18842563-('Calculation '!I32*'Calculation '!I44)</f>
        <v>17681924.85634187</v>
      </c>
    </row>
    <row r="5" spans="1:4" ht="12">
      <c r="A5" s="27" t="s">
        <v>104</v>
      </c>
      <c r="B5">
        <f>'Calculation '!G32</f>
        <v>9231489.863826782</v>
      </c>
      <c r="C5">
        <f>'Calculation '!H32</f>
        <v>8401309.477300093</v>
      </c>
      <c r="D5">
        <f>'Calculation '!I32</f>
        <v>7645786.538741171</v>
      </c>
    </row>
    <row r="6" spans="1:4" ht="12">
      <c r="A6" s="27" t="s">
        <v>105</v>
      </c>
      <c r="B6">
        <f>'Change in WC'!C13</f>
        <v>152219603.34431058</v>
      </c>
      <c r="C6">
        <f>'Change in WC'!D13</f>
        <v>90382085.99394101</v>
      </c>
      <c r="D6">
        <f>'Change in WC'!E13</f>
        <v>108327583.33252788</v>
      </c>
    </row>
    <row r="7" spans="1:5" ht="12">
      <c r="A7" s="1" t="s">
        <v>116</v>
      </c>
      <c r="B7" s="1">
        <f>B3+B4+B5-(B6)</f>
        <v>74325596.78923365</v>
      </c>
      <c r="C7" s="1">
        <f>C3+C4+C5-(C6)</f>
        <v>168735099.95272034</v>
      </c>
      <c r="D7" s="1">
        <f>D3+D4+D5-(D6)</f>
        <v>189128448.05918854</v>
      </c>
      <c r="E7" s="1">
        <f>D7*(1+0.02)</f>
        <v>192911017.02037233</v>
      </c>
    </row>
    <row r="9" spans="1:4" ht="12">
      <c r="A9" s="27" t="s">
        <v>114</v>
      </c>
      <c r="B9">
        <v>0.8109</v>
      </c>
      <c r="C9">
        <v>0.6575</v>
      </c>
      <c r="D9">
        <v>0.5332</v>
      </c>
    </row>
    <row r="10" spans="1:4" ht="12">
      <c r="A10" s="27" t="s">
        <v>115</v>
      </c>
      <c r="B10">
        <f>B7*B9</f>
        <v>60270626.436389565</v>
      </c>
      <c r="C10">
        <f>C7*C9</f>
        <v>110943328.21891361</v>
      </c>
      <c r="D10">
        <f>D7*D9</f>
        <v>100843288.50515933</v>
      </c>
    </row>
    <row r="11" spans="1:5" ht="12">
      <c r="A11" s="27" t="s">
        <v>117</v>
      </c>
      <c r="E11">
        <f>(E7/(WACC!B13-0.02))*D9</f>
        <v>482557827.0789185</v>
      </c>
    </row>
    <row r="12" ht="12">
      <c r="A12" s="27"/>
    </row>
    <row r="13" spans="1:2" ht="12">
      <c r="A13" s="27" t="s">
        <v>118</v>
      </c>
      <c r="B13">
        <f>B10+C10+D10+E11</f>
        <v>754615070.2393811</v>
      </c>
    </row>
    <row r="14" spans="1:2" ht="12">
      <c r="A14" s="27" t="s">
        <v>24</v>
      </c>
      <c r="B14">
        <f>'Balance sheet '!F11</f>
        <v>157370127</v>
      </c>
    </row>
    <row r="15" spans="1:2" ht="12">
      <c r="A15" s="27" t="s">
        <v>124</v>
      </c>
      <c r="B15">
        <f>'Balance sheet '!F18+'Balance sheet '!F22+'Balance sheet '!F23</f>
        <v>202401558</v>
      </c>
    </row>
    <row r="16" spans="1:2" ht="12">
      <c r="A16" s="27" t="s">
        <v>119</v>
      </c>
      <c r="B16">
        <f>B13+B14-B15</f>
        <v>709583639.2393811</v>
      </c>
    </row>
    <row r="17" spans="1:2" ht="12">
      <c r="A17" s="1" t="s">
        <v>120</v>
      </c>
      <c r="B17" s="1">
        <f>B16/'Balance sheet '!F36</f>
        <v>984.4171594961558</v>
      </c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6">
      <selection activeCell="I29" sqref="I29"/>
    </sheetView>
  </sheetViews>
  <sheetFormatPr defaultColWidth="8.8515625" defaultRowHeight="12.75"/>
  <cols>
    <col min="1" max="1" width="27.421875" style="0" customWidth="1"/>
    <col min="2" max="4" width="10.00390625" style="0" bestFit="1" customWidth="1"/>
    <col min="5" max="6" width="13.7109375" style="0" customWidth="1"/>
  </cols>
  <sheetData>
    <row r="1" spans="1:6" ht="12">
      <c r="A1" s="1" t="s">
        <v>15</v>
      </c>
      <c r="B1" s="1">
        <v>2006</v>
      </c>
      <c r="C1" s="1">
        <v>2007</v>
      </c>
      <c r="D1" s="1">
        <v>2008</v>
      </c>
      <c r="E1" s="1">
        <v>2009</v>
      </c>
      <c r="F1" s="1">
        <v>2010</v>
      </c>
    </row>
    <row r="2" spans="1:6" ht="12">
      <c r="A2" t="s">
        <v>16</v>
      </c>
      <c r="B2">
        <v>150075514</v>
      </c>
      <c r="C2">
        <v>135067026</v>
      </c>
      <c r="D2">
        <v>123775188</v>
      </c>
      <c r="E2">
        <v>106946118</v>
      </c>
      <c r="F2">
        <v>102652877</v>
      </c>
    </row>
    <row r="3" spans="1:6" ht="12">
      <c r="A3" t="s">
        <v>17</v>
      </c>
      <c r="B3">
        <v>33617998</v>
      </c>
      <c r="C3">
        <v>33617998</v>
      </c>
      <c r="D3">
        <v>38250523</v>
      </c>
      <c r="E3">
        <v>465359757</v>
      </c>
      <c r="F3">
        <v>820052329</v>
      </c>
    </row>
    <row r="4" spans="1:6" ht="12">
      <c r="A4" s="27" t="s">
        <v>79</v>
      </c>
      <c r="B4">
        <v>1940577</v>
      </c>
      <c r="C4">
        <v>1772146</v>
      </c>
      <c r="D4">
        <v>2076789</v>
      </c>
      <c r="E4">
        <v>2358469</v>
      </c>
      <c r="F4">
        <v>23452958</v>
      </c>
    </row>
    <row r="5" spans="1:6" ht="12">
      <c r="A5" s="1" t="s">
        <v>18</v>
      </c>
      <c r="B5" s="1">
        <f>B2+B3+B4</f>
        <v>185634089</v>
      </c>
      <c r="C5" s="1">
        <f>C2+C3+C4</f>
        <v>170457170</v>
      </c>
      <c r="D5" s="1">
        <f>SUM(D2:D4)</f>
        <v>164102500</v>
      </c>
      <c r="E5" s="1">
        <f>E2+E3+E4</f>
        <v>574664344</v>
      </c>
      <c r="F5" s="1">
        <f>F2+F3+F4</f>
        <v>946158164</v>
      </c>
    </row>
    <row r="6" spans="1:6" ht="12">
      <c r="A6" t="s">
        <v>19</v>
      </c>
      <c r="B6">
        <v>62024184</v>
      </c>
      <c r="C6">
        <v>65542150</v>
      </c>
      <c r="D6">
        <v>93553486</v>
      </c>
      <c r="E6">
        <v>127990769</v>
      </c>
      <c r="F6">
        <v>128611091</v>
      </c>
    </row>
    <row r="7" spans="1:6" ht="12">
      <c r="A7" t="s">
        <v>20</v>
      </c>
      <c r="B7">
        <v>234984480</v>
      </c>
      <c r="C7">
        <v>225362699</v>
      </c>
      <c r="D7">
        <v>278058033</v>
      </c>
      <c r="E7">
        <v>253086921</v>
      </c>
      <c r="F7">
        <v>236000082</v>
      </c>
    </row>
    <row r="8" spans="1:6" ht="12">
      <c r="A8" t="s">
        <v>21</v>
      </c>
      <c r="B8">
        <v>3505365</v>
      </c>
      <c r="C8">
        <v>4324501</v>
      </c>
      <c r="D8">
        <v>4985502</v>
      </c>
      <c r="E8">
        <v>4999566</v>
      </c>
      <c r="F8">
        <v>8971248</v>
      </c>
    </row>
    <row r="9" spans="1:6" ht="12">
      <c r="A9" t="s">
        <v>22</v>
      </c>
      <c r="B9">
        <v>38395664</v>
      </c>
      <c r="C9">
        <v>40143461</v>
      </c>
      <c r="D9">
        <v>41570612</v>
      </c>
      <c r="E9">
        <v>25757285</v>
      </c>
      <c r="F9">
        <v>48444611</v>
      </c>
    </row>
    <row r="10" spans="1:6" ht="12">
      <c r="A10" t="s">
        <v>23</v>
      </c>
      <c r="B10">
        <v>115000000</v>
      </c>
      <c r="C10">
        <v>80000000</v>
      </c>
      <c r="D10">
        <v>0</v>
      </c>
      <c r="E10">
        <v>0</v>
      </c>
      <c r="F10">
        <v>0</v>
      </c>
    </row>
    <row r="11" spans="1:6" ht="12">
      <c r="A11" t="s">
        <v>24</v>
      </c>
      <c r="B11">
        <v>101016</v>
      </c>
      <c r="C11">
        <v>131156</v>
      </c>
      <c r="D11">
        <v>130136651</v>
      </c>
      <c r="E11">
        <v>89925773</v>
      </c>
      <c r="F11">
        <v>157370127</v>
      </c>
    </row>
    <row r="12" spans="1:6" ht="12">
      <c r="A12" s="1" t="s">
        <v>25</v>
      </c>
      <c r="B12" s="1">
        <f>B6+B7+B8+B9+B10+B11</f>
        <v>454010709</v>
      </c>
      <c r="C12" s="1">
        <f>C6+C7+C8+C9+C10+C11</f>
        <v>415503967</v>
      </c>
      <c r="D12" s="1">
        <f>D6+D7+D8+D9+D11+D10</f>
        <v>548304284</v>
      </c>
      <c r="E12" s="1">
        <f>E6+E7+E8+E9+E10+E11</f>
        <v>501760314</v>
      </c>
      <c r="F12" s="1">
        <f>F6+F7+F8+F9+F10+F11</f>
        <v>579397159</v>
      </c>
    </row>
    <row r="13" spans="1:6" ht="12">
      <c r="A13" s="1" t="s">
        <v>26</v>
      </c>
      <c r="B13" s="1">
        <f>B12+B5</f>
        <v>639644798</v>
      </c>
      <c r="C13" s="1">
        <f>C12+C5</f>
        <v>585961137</v>
      </c>
      <c r="D13" s="1">
        <f>D12+D5</f>
        <v>712406784</v>
      </c>
      <c r="E13" s="1">
        <f>E12+E5</f>
        <v>1076424658</v>
      </c>
      <c r="F13" s="1">
        <f>F12+F5</f>
        <v>1525555323</v>
      </c>
    </row>
    <row r="15" spans="1:6" ht="12">
      <c r="A15" t="s">
        <v>27</v>
      </c>
      <c r="B15">
        <v>72081600</v>
      </c>
      <c r="C15">
        <v>72081600</v>
      </c>
      <c r="D15">
        <v>72081600</v>
      </c>
      <c r="E15">
        <v>72081600</v>
      </c>
      <c r="F15">
        <v>72081600</v>
      </c>
    </row>
    <row r="16" spans="1:6" ht="12">
      <c r="A16" t="s">
        <v>28</v>
      </c>
      <c r="B16">
        <v>153023475</v>
      </c>
      <c r="C16">
        <v>166797041</v>
      </c>
      <c r="D16">
        <v>200461710</v>
      </c>
      <c r="E16">
        <v>660851274</v>
      </c>
      <c r="F16">
        <v>1048657244</v>
      </c>
    </row>
    <row r="17" spans="1:6" ht="12">
      <c r="A17" s="1" t="s">
        <v>29</v>
      </c>
      <c r="B17" s="1">
        <f>B15+B16</f>
        <v>225105075</v>
      </c>
      <c r="C17" s="1">
        <f>C15+C16</f>
        <v>238878641</v>
      </c>
      <c r="D17" s="1">
        <f>D15+D16</f>
        <v>272543310</v>
      </c>
      <c r="E17" s="1">
        <f>E15+E16</f>
        <v>732932874</v>
      </c>
      <c r="F17" s="1">
        <f>F15+F16</f>
        <v>1120738844</v>
      </c>
    </row>
    <row r="18" spans="1:6" ht="12">
      <c r="A18" t="s">
        <v>30</v>
      </c>
      <c r="B18">
        <v>5172458</v>
      </c>
      <c r="C18">
        <v>0</v>
      </c>
      <c r="D18">
        <v>0</v>
      </c>
      <c r="E18">
        <v>36458334</v>
      </c>
      <c r="F18">
        <v>40033896</v>
      </c>
    </row>
    <row r="19" spans="1:6" ht="12">
      <c r="A19" t="s">
        <v>42</v>
      </c>
      <c r="B19">
        <v>17285759</v>
      </c>
      <c r="C19">
        <v>18684717</v>
      </c>
      <c r="D19">
        <v>21260768</v>
      </c>
      <c r="E19">
        <v>22008780</v>
      </c>
      <c r="F19">
        <v>25121780</v>
      </c>
    </row>
    <row r="20" spans="1:6" ht="12">
      <c r="A20" t="s">
        <v>43</v>
      </c>
      <c r="B20">
        <v>35032712</v>
      </c>
      <c r="C20">
        <v>30653212</v>
      </c>
      <c r="D20">
        <v>23791792</v>
      </c>
      <c r="E20">
        <v>19441088</v>
      </c>
      <c r="F20">
        <v>15391607</v>
      </c>
    </row>
    <row r="21" spans="1:6" ht="12">
      <c r="A21" s="1" t="s">
        <v>31</v>
      </c>
      <c r="B21" s="1">
        <f>SUM(B18:B20)</f>
        <v>57490929</v>
      </c>
      <c r="C21" s="1">
        <f>SUM(C18:C20)</f>
        <v>49337929</v>
      </c>
      <c r="D21" s="1">
        <f>SUM(D18:D20)</f>
        <v>45052560</v>
      </c>
      <c r="E21" s="1">
        <f>SUM(E18:E20)</f>
        <v>77908202</v>
      </c>
      <c r="F21" s="1">
        <f>SUM(F18:F20)</f>
        <v>80547283</v>
      </c>
    </row>
    <row r="22" spans="1:6" ht="12">
      <c r="A22" t="s">
        <v>32</v>
      </c>
      <c r="B22">
        <v>228024446</v>
      </c>
      <c r="C22">
        <v>168930625</v>
      </c>
      <c r="D22">
        <v>240334940</v>
      </c>
      <c r="E22">
        <v>92323508</v>
      </c>
      <c r="F22">
        <v>147858218</v>
      </c>
    </row>
    <row r="23" spans="1:6" ht="12">
      <c r="A23" t="s">
        <v>33</v>
      </c>
      <c r="B23">
        <v>9568000</v>
      </c>
      <c r="C23">
        <v>0</v>
      </c>
      <c r="D23">
        <v>0</v>
      </c>
      <c r="E23">
        <v>12500000</v>
      </c>
      <c r="F23">
        <v>14509444</v>
      </c>
    </row>
    <row r="24" spans="1:6" ht="12">
      <c r="A24" t="s">
        <v>34</v>
      </c>
      <c r="B24">
        <v>22635360</v>
      </c>
      <c r="C24">
        <v>14593642</v>
      </c>
      <c r="D24">
        <v>33103035</v>
      </c>
      <c r="E24">
        <v>60957763</v>
      </c>
      <c r="F24">
        <v>39397112</v>
      </c>
    </row>
    <row r="25" spans="1:6" ht="12">
      <c r="A25" t="s">
        <v>35</v>
      </c>
      <c r="B25">
        <v>4546952</v>
      </c>
      <c r="C25">
        <v>5632690</v>
      </c>
      <c r="D25">
        <v>7180202</v>
      </c>
      <c r="E25">
        <v>7455857</v>
      </c>
      <c r="F25">
        <v>6737950</v>
      </c>
    </row>
    <row r="26" spans="1:6" ht="12">
      <c r="A26" t="s">
        <v>36</v>
      </c>
      <c r="B26">
        <v>20785829</v>
      </c>
      <c r="C26">
        <v>29517777</v>
      </c>
      <c r="D26">
        <v>24945518</v>
      </c>
      <c r="E26">
        <v>16210389</v>
      </c>
      <c r="F26">
        <v>24459658</v>
      </c>
    </row>
    <row r="27" spans="1:6" ht="12">
      <c r="A27" t="s">
        <v>37</v>
      </c>
      <c r="B27">
        <v>57735814</v>
      </c>
      <c r="C27">
        <v>62549700</v>
      </c>
      <c r="D27">
        <v>66360009</v>
      </c>
      <c r="E27">
        <v>48652421</v>
      </c>
      <c r="F27">
        <v>72595490</v>
      </c>
    </row>
    <row r="28" spans="1:6" ht="12">
      <c r="A28" t="s">
        <v>38</v>
      </c>
      <c r="B28">
        <v>13752393</v>
      </c>
      <c r="C28">
        <v>16520133</v>
      </c>
      <c r="D28">
        <v>22887210</v>
      </c>
      <c r="E28">
        <v>27483644</v>
      </c>
      <c r="F28">
        <v>18711324</v>
      </c>
    </row>
    <row r="29" spans="1:6" ht="12">
      <c r="A29" s="1" t="s">
        <v>39</v>
      </c>
      <c r="B29" s="1">
        <f>SUM(B22:B28)</f>
        <v>357048794</v>
      </c>
      <c r="C29" s="1">
        <f>SUM(C22:C28)</f>
        <v>297744567</v>
      </c>
      <c r="D29" s="1">
        <f>SUM(D22:D28)</f>
        <v>394810914</v>
      </c>
      <c r="E29" s="1">
        <f>SUM(E22:E28)</f>
        <v>265583582</v>
      </c>
      <c r="F29" s="1">
        <f>SUM(F22:F28)</f>
        <v>324269196</v>
      </c>
    </row>
    <row r="30" spans="1:6" ht="12">
      <c r="A30" s="1" t="s">
        <v>40</v>
      </c>
      <c r="B30" s="1">
        <f>B29+B21</f>
        <v>414539723</v>
      </c>
      <c r="C30" s="1">
        <f>C29+C21</f>
        <v>347082496</v>
      </c>
      <c r="D30" s="1">
        <f>D29+D21</f>
        <v>439863474</v>
      </c>
      <c r="E30" s="1">
        <f>E29+E21</f>
        <v>343491784</v>
      </c>
      <c r="F30" s="1">
        <f>F29+F21</f>
        <v>404816479</v>
      </c>
    </row>
    <row r="31" spans="1:6" ht="12">
      <c r="A31" s="1" t="s">
        <v>41</v>
      </c>
      <c r="B31" s="1">
        <f>B30+B17</f>
        <v>639644798</v>
      </c>
      <c r="C31" s="1">
        <f>C30+C17</f>
        <v>585961137</v>
      </c>
      <c r="D31" s="1">
        <f>D30+D17</f>
        <v>712406784</v>
      </c>
      <c r="E31" s="1">
        <f>E30+E17</f>
        <v>1076424658</v>
      </c>
      <c r="F31" s="1">
        <f>F30+F17</f>
        <v>1525555323</v>
      </c>
    </row>
    <row r="36" spans="1:6" ht="12">
      <c r="A36" t="s">
        <v>55</v>
      </c>
      <c r="F36">
        <v>720816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A1">
      <selection activeCell="O26" sqref="O26"/>
    </sheetView>
  </sheetViews>
  <sheetFormatPr defaultColWidth="8.8515625" defaultRowHeight="12.75"/>
  <cols>
    <col min="1" max="1" width="39.7109375" style="0" customWidth="1"/>
    <col min="2" max="2" width="10.00390625" style="0" bestFit="1" customWidth="1"/>
    <col min="3" max="3" width="9.8515625" style="0" customWidth="1"/>
    <col min="4" max="4" width="11.28125" style="0" customWidth="1"/>
    <col min="5" max="5" width="10.00390625" style="0" customWidth="1"/>
    <col min="6" max="6" width="10.7109375" style="0" customWidth="1"/>
    <col min="7" max="7" width="10.00390625" style="0" bestFit="1" customWidth="1"/>
    <col min="8" max="8" width="10.7109375" style="0" customWidth="1"/>
    <col min="9" max="9" width="11.421875" style="0" customWidth="1"/>
  </cols>
  <sheetData>
    <row r="1" spans="1:9" ht="12">
      <c r="A1" s="1" t="s">
        <v>0</v>
      </c>
      <c r="B1" s="1">
        <v>2006</v>
      </c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</row>
    <row r="2" spans="1:6" ht="12">
      <c r="A2" s="27" t="s">
        <v>56</v>
      </c>
      <c r="C2">
        <f>('Income statement '!C2-'Income statement '!B2)/'Income statement '!B2</f>
        <v>0.10693758411841119</v>
      </c>
      <c r="D2">
        <f>('Income statement '!D2-'Income statement '!C2)/'Income statement '!C2</f>
        <v>0.5317043636839519</v>
      </c>
      <c r="E2">
        <f>('Income statement '!E2-'Income statement '!D2)/'Income statement '!D2</f>
        <v>0.14379694032731508</v>
      </c>
      <c r="F2">
        <f>('Income statement '!F2-'Income statement '!E2)/'Income statement '!E2</f>
        <v>0.01176704952880501</v>
      </c>
    </row>
    <row r="3" spans="1:9" ht="12">
      <c r="A3" s="27" t="s">
        <v>57</v>
      </c>
      <c r="F3">
        <f>AVERAGE(C2:F2)</f>
        <v>0.19855148441462078</v>
      </c>
      <c r="G3">
        <f>F3</f>
        <v>0.19855148441462078</v>
      </c>
      <c r="H3">
        <f>G3</f>
        <v>0.19855148441462078</v>
      </c>
      <c r="I3">
        <f>H3</f>
        <v>0.19855148441462078</v>
      </c>
    </row>
    <row r="5" spans="1:6" ht="12">
      <c r="A5" s="27" t="s">
        <v>58</v>
      </c>
      <c r="B5">
        <f>'Income statement '!B3/'Income statement '!B2</f>
        <v>0.7547831222013556</v>
      </c>
      <c r="C5">
        <f>'Income statement '!C3/'Income statement '!C2</f>
        <v>0.7678093705942344</v>
      </c>
      <c r="D5">
        <f>'Income statement '!D3/'Income statement '!D2</f>
        <v>0.7989713401230636</v>
      </c>
      <c r="E5">
        <f>'Income statement '!E3/'Income statement '!E2</f>
        <v>0.8171356260023522</v>
      </c>
      <c r="F5">
        <f>'Income statement '!F3/'Income statement '!F2</f>
        <v>0.7651177027676291</v>
      </c>
    </row>
    <row r="6" spans="1:9" ht="12">
      <c r="A6" s="27" t="s">
        <v>59</v>
      </c>
      <c r="F6">
        <f>AVERAGE(B5:F5)</f>
        <v>0.7807634323377269</v>
      </c>
      <c r="G6">
        <f>F6</f>
        <v>0.7807634323377269</v>
      </c>
      <c r="H6">
        <f>G6</f>
        <v>0.7807634323377269</v>
      </c>
      <c r="I6">
        <f>H6</f>
        <v>0.7807634323377269</v>
      </c>
    </row>
    <row r="8" spans="1:6" ht="12">
      <c r="A8" s="27" t="s">
        <v>60</v>
      </c>
      <c r="B8">
        <f>'Income statement '!B5/'Income statement '!B2</f>
        <v>0.058407587017553914</v>
      </c>
      <c r="C8">
        <f>'Income statement '!C5/'Income statement '!C2</f>
        <v>0.056613710251383766</v>
      </c>
      <c r="D8">
        <f>'Income statement '!D5/'Income statement '!D2</f>
        <v>0.052064866894027076</v>
      </c>
      <c r="E8">
        <f>'Income statement '!E5/'Income statement '!E2</f>
        <v>0.04841605379637192</v>
      </c>
      <c r="F8">
        <f>'Income statement '!F5/'Income statement '!F2</f>
        <v>0.10456337869789066</v>
      </c>
    </row>
    <row r="9" spans="1:9" ht="12">
      <c r="A9" s="27" t="s">
        <v>59</v>
      </c>
      <c r="F9">
        <f>AVERAGE(B8:F8)</f>
        <v>0.06401311933144546</v>
      </c>
      <c r="G9">
        <f>F9</f>
        <v>0.06401311933144546</v>
      </c>
      <c r="H9">
        <f>G9</f>
        <v>0.06401311933144546</v>
      </c>
      <c r="I9">
        <f>H9</f>
        <v>0.06401311933144546</v>
      </c>
    </row>
    <row r="11" spans="1:6" ht="12">
      <c r="A11" s="27" t="s">
        <v>61</v>
      </c>
      <c r="C11">
        <f>('Income statement '!C7-'Income statement '!B7)/'Income statement '!B7</f>
        <v>-0.14996488373881287</v>
      </c>
      <c r="D11">
        <f>('Income statement '!D7-'Income statement '!C7)/'Income statement '!C7</f>
        <v>-0.038391614040111516</v>
      </c>
      <c r="E11">
        <f>('Income statement '!E7-'Income statement '!D7)/'Income statement '!D7</f>
        <v>0.451443150595316</v>
      </c>
      <c r="F11">
        <f>('Income statement '!F7-'Income statement '!E7)/'Income statement '!E7</f>
        <v>0.1092591257128125</v>
      </c>
    </row>
    <row r="12" spans="1:9" ht="12">
      <c r="A12" s="27" t="s">
        <v>59</v>
      </c>
      <c r="F12">
        <f>AVERAGE(C11:F11)</f>
        <v>0.09308644463230102</v>
      </c>
      <c r="G12">
        <f>F12</f>
        <v>0.09308644463230102</v>
      </c>
      <c r="H12">
        <f>G12</f>
        <v>0.09308644463230102</v>
      </c>
      <c r="I12">
        <f>H12</f>
        <v>0.09308644463230102</v>
      </c>
    </row>
    <row r="14" spans="1:6" ht="12">
      <c r="A14" s="27" t="s">
        <v>62</v>
      </c>
      <c r="B14">
        <f>'Income statement '!B8/'Balance sheet '!B3</f>
        <v>0.5456509040187343</v>
      </c>
      <c r="C14">
        <f>'Income statement '!C8/'Balance sheet '!C3</f>
        <v>0.6208507419150896</v>
      </c>
      <c r="D14">
        <f>'Income statement '!D8/'Balance sheet '!D3</f>
        <v>0.4740353223405599</v>
      </c>
      <c r="E14">
        <f>'Income statement '!E8/'Balance sheet '!E3</f>
        <v>0.0465239885364647</v>
      </c>
      <c r="F14">
        <f>'Income statement '!F8/'Balance sheet '!F3</f>
        <v>0.025153065567356008</v>
      </c>
    </row>
    <row r="15" spans="1:9" ht="12">
      <c r="A15" s="27" t="s">
        <v>63</v>
      </c>
      <c r="F15">
        <f>AVERAGE(B14:F14)</f>
        <v>0.3424428044756409</v>
      </c>
      <c r="G15">
        <f>F15</f>
        <v>0.3424428044756409</v>
      </c>
      <c r="H15">
        <f>G15</f>
        <v>0.3424428044756409</v>
      </c>
      <c r="I15">
        <f>H15</f>
        <v>0.3424428044756409</v>
      </c>
    </row>
    <row r="16" spans="1:9" ht="12">
      <c r="A16" s="27" t="s">
        <v>65</v>
      </c>
      <c r="G16">
        <f>G24</f>
        <v>0.16442301726741937</v>
      </c>
      <c r="H16">
        <f>H24</f>
        <v>0.16442301726741937</v>
      </c>
      <c r="I16">
        <f>I24</f>
        <v>0.16442301726741937</v>
      </c>
    </row>
    <row r="17" ht="12">
      <c r="A17" s="27"/>
    </row>
    <row r="18" spans="1:6" ht="12">
      <c r="A18" s="27" t="s">
        <v>64</v>
      </c>
      <c r="C18">
        <f>('Balance sheet '!C3-'Balance sheet '!B3)/'Balance sheet '!B3</f>
        <v>0</v>
      </c>
      <c r="D18">
        <f>('Balance sheet '!D3-'Balance sheet '!C3)/'Balance sheet '!C3</f>
        <v>0.1377989551906095</v>
      </c>
      <c r="E18">
        <f>('Balance sheet '!E3-'Balance sheet '!D3)/'Balance sheet '!D3</f>
        <v>11.166101807287706</v>
      </c>
      <c r="F18">
        <f>('Balance sheet '!F3-'Balance sheet '!E3)/'Balance sheet '!E3</f>
        <v>0.7621900404250039</v>
      </c>
    </row>
    <row r="19" spans="1:9" ht="12">
      <c r="A19" s="27" t="s">
        <v>65</v>
      </c>
      <c r="F19">
        <v>0.15</v>
      </c>
      <c r="G19">
        <f>F19</f>
        <v>0.15</v>
      </c>
      <c r="H19">
        <f>G19</f>
        <v>0.15</v>
      </c>
      <c r="I19">
        <f>H19</f>
        <v>0.15</v>
      </c>
    </row>
    <row r="21" spans="1:9" ht="12">
      <c r="A21" t="s">
        <v>66</v>
      </c>
      <c r="B21">
        <f>'Balance sheet '!B18+'Balance sheet '!B22+'Balance sheet '!B23</f>
        <v>242764904</v>
      </c>
      <c r="C21">
        <f>'Balance sheet '!C18+'Balance sheet '!C22+'Balance sheet '!C23</f>
        <v>168930625</v>
      </c>
      <c r="D21">
        <f>'Balance sheet '!D18+'Balance sheet '!D22+'Balance sheet '!D23</f>
        <v>240334940</v>
      </c>
      <c r="E21">
        <f>'Balance sheet '!E18+'Balance sheet '!E22+'Balance sheet '!E23</f>
        <v>141281842</v>
      </c>
      <c r="F21">
        <f>'Balance sheet '!F18+'Balance sheet '!F22+'Balance sheet '!F23</f>
        <v>202401558</v>
      </c>
      <c r="G21">
        <f>'Proforma Balance sheet'!C18+'Proforma Balance sheet'!C22+'Proforma Balance sheet'!C23</f>
        <v>343567680.5815016</v>
      </c>
      <c r="H21">
        <f>'Proforma Balance sheet'!D18+'Proforma Balance sheet'!D22+'Proforma Balance sheet'!D23</f>
        <v>390490132.08014643</v>
      </c>
      <c r="I21">
        <f>'Proforma Balance sheet'!E18+'Proforma Balance sheet'!E22+'Proforma Balance sheet'!E23</f>
        <v>449378702.46878713</v>
      </c>
    </row>
    <row r="22" spans="1:9" ht="12">
      <c r="A22" t="s">
        <v>67</v>
      </c>
      <c r="C22">
        <f aca="true" t="shared" si="0" ref="C22:I22">(B21+C21)/2</f>
        <v>205847764.5</v>
      </c>
      <c r="D22">
        <f t="shared" si="0"/>
        <v>204632782.5</v>
      </c>
      <c r="E22">
        <f t="shared" si="0"/>
        <v>190808391</v>
      </c>
      <c r="F22">
        <f t="shared" si="0"/>
        <v>171841700</v>
      </c>
      <c r="G22">
        <f t="shared" si="0"/>
        <v>272984619.2907508</v>
      </c>
      <c r="H22">
        <f t="shared" si="0"/>
        <v>367028906.330824</v>
      </c>
      <c r="I22">
        <f t="shared" si="0"/>
        <v>419934417.27446675</v>
      </c>
    </row>
    <row r="23" spans="1:6" ht="12">
      <c r="A23" t="s">
        <v>68</v>
      </c>
      <c r="C23">
        <f>'Income statement '!C9/'Calculation '!C22</f>
        <v>0.16640093266594597</v>
      </c>
      <c r="D23">
        <f>'Income statement '!D9/'Calculation '!D22</f>
        <v>0.15045010688842098</v>
      </c>
      <c r="E23">
        <f>'Income statement '!E9/'Calculation '!E22</f>
        <v>0.17592357350783383</v>
      </c>
      <c r="F23">
        <f>'Income statement '!F9/'Calculation '!F22</f>
        <v>0.16491745600747665</v>
      </c>
    </row>
    <row r="24" spans="1:9" ht="12">
      <c r="A24" t="s">
        <v>69</v>
      </c>
      <c r="F24">
        <f>AVERAGE(C23:F23)</f>
        <v>0.16442301726741937</v>
      </c>
      <c r="G24">
        <f>F24</f>
        <v>0.16442301726741937</v>
      </c>
      <c r="H24">
        <f>G24</f>
        <v>0.16442301726741937</v>
      </c>
      <c r="I24">
        <f>H24</f>
        <v>0.16442301726741937</v>
      </c>
    </row>
    <row r="26" spans="1:6" ht="12">
      <c r="A26" t="s">
        <v>70</v>
      </c>
      <c r="B26">
        <f>'Balance sheet '!B22/'Income statement '!B2</f>
        <v>0.7186539695216733</v>
      </c>
      <c r="C26">
        <f>'Balance sheet '!C22/'Income statement '!C2</f>
        <v>0.4809762975825816</v>
      </c>
      <c r="D26">
        <f>'Balance sheet '!D22/'Income statement '!D2</f>
        <v>0.4467424790029356</v>
      </c>
      <c r="E26">
        <f>'Balance sheet '!E22/'Income statement '!E2</f>
        <v>0.15003884212085852</v>
      </c>
      <c r="F26">
        <f>'Balance sheet '!F22/'Income statement '!F2</f>
        <v>0.23749602338746906</v>
      </c>
    </row>
    <row r="27" spans="1:9" ht="12">
      <c r="A27" t="s">
        <v>59</v>
      </c>
      <c r="F27">
        <f>AVERAGE(B26:F26)</f>
        <v>0.40678152232310366</v>
      </c>
      <c r="G27">
        <f>F27</f>
        <v>0.40678152232310366</v>
      </c>
      <c r="H27">
        <f>G27</f>
        <v>0.40678152232310366</v>
      </c>
      <c r="I27">
        <f>H27</f>
        <v>0.40678152232310366</v>
      </c>
    </row>
    <row r="29" spans="1:6" ht="12">
      <c r="A29" t="s">
        <v>71</v>
      </c>
      <c r="C29">
        <f>('Balance sheet '!C2-'Balance sheet '!B2)/'Balance sheet '!B2</f>
        <v>-0.10000624085818556</v>
      </c>
      <c r="D29">
        <f>('Balance sheet '!D2-'Balance sheet '!C2)/'Balance sheet '!C2</f>
        <v>-0.08360173711087708</v>
      </c>
      <c r="E29">
        <f>('Balance sheet '!E2-'Balance sheet '!D2)/'Balance sheet '!D2</f>
        <v>-0.13596481065332738</v>
      </c>
      <c r="F29">
        <f>('Balance sheet '!F2-'Balance sheet '!E2)/'Balance sheet '!E2</f>
        <v>-0.040143962962732316</v>
      </c>
    </row>
    <row r="30" spans="1:9" ht="12">
      <c r="A30" t="s">
        <v>72</v>
      </c>
      <c r="F30">
        <f>AVERAGE(C29:F29)</f>
        <v>-0.08992918789628059</v>
      </c>
      <c r="G30">
        <f>F30</f>
        <v>-0.08992918789628059</v>
      </c>
      <c r="H30">
        <f>G30</f>
        <v>-0.08992918789628059</v>
      </c>
      <c r="I30">
        <f>H30</f>
        <v>-0.08992918789628059</v>
      </c>
    </row>
    <row r="32" spans="1:9" ht="12">
      <c r="A32" t="s">
        <v>73</v>
      </c>
      <c r="G32">
        <f>'Proforma Balance sheet'!B2-'Proforma Balance sheet'!C2</f>
        <v>9231489.863826782</v>
      </c>
      <c r="H32">
        <f>'Proforma Balance sheet'!C2-'Proforma Balance sheet'!D2</f>
        <v>8401309.477300093</v>
      </c>
      <c r="I32">
        <f>'Proforma Balance sheet'!D2-'Proforma Balance sheet'!E2</f>
        <v>7645786.538741171</v>
      </c>
    </row>
    <row r="34" spans="1:6" ht="12">
      <c r="A34" s="27" t="s">
        <v>74</v>
      </c>
      <c r="B34">
        <f>'Income statement '!B10/'Income statement '!B2</f>
        <v>0.008382745056887277</v>
      </c>
      <c r="C34">
        <f>'Income statement '!C10/'Income statement '!C2</f>
        <v>0.007624150789420604</v>
      </c>
      <c r="D34">
        <f>'Income statement '!D10/'Income statement '!D2</f>
        <v>0.006649879683605609</v>
      </c>
      <c r="E34">
        <f>'Income statement '!E10/'Income statement '!E2</f>
        <v>0.006338539430783981</v>
      </c>
      <c r="F34">
        <f>'Income statement '!F10/'Income statement '!F2</f>
        <v>0.006556936891579568</v>
      </c>
    </row>
    <row r="35" spans="1:9" ht="12">
      <c r="A35" s="27" t="s">
        <v>63</v>
      </c>
      <c r="F35">
        <f>AVERAGE(B34:F34)</f>
        <v>0.0071104503704554085</v>
      </c>
      <c r="G35">
        <f>F35</f>
        <v>0.0071104503704554085</v>
      </c>
      <c r="H35">
        <f>G35</f>
        <v>0.0071104503704554085</v>
      </c>
      <c r="I35">
        <f>H35</f>
        <v>0.0071104503704554085</v>
      </c>
    </row>
    <row r="37" spans="1:6" ht="12">
      <c r="A37" s="27" t="s">
        <v>75</v>
      </c>
      <c r="B37">
        <f>'Income statement '!B12/'Income statement '!B11</f>
        <v>0.3584097291464493</v>
      </c>
      <c r="C37">
        <f>'Income statement '!C12/'Income statement '!C11</f>
        <v>0.33960327252219163</v>
      </c>
      <c r="D37">
        <f>'Income statement '!D12/'Income statement '!D11</f>
        <v>0.22683518844029826</v>
      </c>
      <c r="E37">
        <f>'Income statement '!E12/'Income statement '!E11</f>
        <v>0.24994334727829326</v>
      </c>
      <c r="F37">
        <f>'Income statement '!F12/'Income statement '!F11</f>
        <v>0.2436648819504079</v>
      </c>
    </row>
    <row r="38" spans="1:9" ht="12">
      <c r="A38" s="27" t="s">
        <v>63</v>
      </c>
      <c r="F38">
        <f>AVERAGE(B37:F37)</f>
        <v>0.28369128386752807</v>
      </c>
      <c r="G38">
        <f>F38</f>
        <v>0.28369128386752807</v>
      </c>
      <c r="H38">
        <f>G38</f>
        <v>0.28369128386752807</v>
      </c>
      <c r="I38">
        <f>H38</f>
        <v>0.28369128386752807</v>
      </c>
    </row>
    <row r="40" spans="1:6" ht="12">
      <c r="A40" s="27" t="s">
        <v>76</v>
      </c>
      <c r="B40">
        <f>'Income statement '!B14/'Income statement '!B13</f>
        <v>0.5856573135526238</v>
      </c>
      <c r="C40">
        <f>'Income statement '!C14/'Income statement '!C13</f>
        <v>0.31327060024746634</v>
      </c>
      <c r="D40">
        <f>'Income statement '!D14/'Income statement '!D13</f>
        <v>0.37862746225542987</v>
      </c>
      <c r="E40">
        <f>'Income statement '!E14/'Income statement '!E13</f>
        <v>0.5738074846403683</v>
      </c>
      <c r="F40">
        <f>'Income statement '!F14/'Income statement '!F13</f>
        <v>0.5605714442846487</v>
      </c>
    </row>
    <row r="41" spans="1:9" ht="12">
      <c r="A41" s="27" t="s">
        <v>77</v>
      </c>
      <c r="F41">
        <f>AVERAGE(B40:F40)</f>
        <v>0.4823868609961074</v>
      </c>
      <c r="G41">
        <f>F41</f>
        <v>0.4823868609961074</v>
      </c>
      <c r="H41">
        <f>G41</f>
        <v>0.4823868609961074</v>
      </c>
      <c r="I41">
        <f>H41</f>
        <v>0.4823868609961074</v>
      </c>
    </row>
    <row r="43" spans="1:6" ht="12">
      <c r="A43" s="27" t="s">
        <v>78</v>
      </c>
      <c r="B43">
        <f>'Income statement '!B19/'Balance sheet '!B2</f>
        <v>0.11874642654897054</v>
      </c>
      <c r="C43">
        <f>'Income statement '!C19/'Balance sheet '!C2</f>
        <v>0.13287183801618613</v>
      </c>
      <c r="D43">
        <f>'Income statement '!D19/'Balance sheet '!D2</f>
        <v>0.14897922837329886</v>
      </c>
      <c r="E43">
        <f>'Income statement '!E19/'Balance sheet '!E2</f>
        <v>0.17485146118160175</v>
      </c>
      <c r="F43">
        <f>'Income statement '!F19/'Balance sheet '!F2</f>
        <v>0.18355611211948789</v>
      </c>
    </row>
    <row r="44" spans="1:9" ht="12">
      <c r="A44" s="27" t="s">
        <v>63</v>
      </c>
      <c r="F44">
        <f>AVERAGE(B43:F43)</f>
        <v>0.151801013247909</v>
      </c>
      <c r="G44">
        <f>F44</f>
        <v>0.151801013247909</v>
      </c>
      <c r="H44">
        <f>G44</f>
        <v>0.151801013247909</v>
      </c>
      <c r="I44">
        <f>H44</f>
        <v>0.151801013247909</v>
      </c>
    </row>
    <row r="46" spans="1:6" ht="12">
      <c r="A46" s="27" t="s">
        <v>80</v>
      </c>
      <c r="C46">
        <f>('Balance sheet '!C4-'Balance sheet '!B4)/'Balance sheet '!B4</f>
        <v>-0.0867942885028525</v>
      </c>
      <c r="D46">
        <f>('Balance sheet '!D4-'Balance sheet '!C4)/'Balance sheet '!C4</f>
        <v>0.17190626505942513</v>
      </c>
      <c r="E46">
        <f>('Balance sheet '!E4-'Balance sheet '!D4)/'Balance sheet '!D4</f>
        <v>0.13563245953248018</v>
      </c>
      <c r="F46">
        <f>('Balance sheet '!F4-'Balance sheet '!E4)/'Balance sheet '!E4</f>
        <v>8.94414512126299</v>
      </c>
    </row>
    <row r="47" spans="1:9" ht="12">
      <c r="A47" s="27" t="s">
        <v>81</v>
      </c>
      <c r="F47">
        <f>(C46+D46+E46)/3</f>
        <v>0.07358147869635094</v>
      </c>
      <c r="G47">
        <f>F47</f>
        <v>0.07358147869635094</v>
      </c>
      <c r="H47">
        <f>G47</f>
        <v>0.07358147869635094</v>
      </c>
      <c r="I47">
        <f>H47</f>
        <v>0.07358147869635094</v>
      </c>
    </row>
    <row r="49" spans="1:6" ht="12">
      <c r="A49" s="27" t="s">
        <v>82</v>
      </c>
      <c r="B49">
        <f>'Balance sheet '!B6/'Income statement '!B2</f>
        <v>0.19547871651420504</v>
      </c>
      <c r="C49">
        <f>'Balance sheet '!C6/'Income statement '!C2</f>
        <v>0.18661045409973592</v>
      </c>
      <c r="D49">
        <f>'Balance sheet '!D6/'Income statement '!D2</f>
        <v>0.17390029204661805</v>
      </c>
      <c r="E49">
        <f>'Balance sheet '!E6/'Income statement '!E2</f>
        <v>0.20800321823687934</v>
      </c>
      <c r="F49">
        <f>'Balance sheet '!F6/'Income statement '!F2</f>
        <v>0.20658048696369324</v>
      </c>
    </row>
    <row r="50" spans="1:9" ht="12">
      <c r="A50" s="27" t="s">
        <v>59</v>
      </c>
      <c r="F50">
        <f>AVERAGE(B49:F49)</f>
        <v>0.19411463357222633</v>
      </c>
      <c r="G50">
        <f>F50</f>
        <v>0.19411463357222633</v>
      </c>
      <c r="H50">
        <f>G50</f>
        <v>0.19411463357222633</v>
      </c>
      <c r="I50">
        <f>H50</f>
        <v>0.19411463357222633</v>
      </c>
    </row>
    <row r="52" spans="1:6" ht="12">
      <c r="A52" s="27" t="s">
        <v>83</v>
      </c>
      <c r="B52">
        <f>'Balance sheet '!B7/'Income statement '!B2</f>
        <v>0.7405895827852871</v>
      </c>
      <c r="C52">
        <f>'Balance sheet '!C7/'Income statement '!C2</f>
        <v>0.6416487038879881</v>
      </c>
      <c r="D52">
        <f>'Balance sheet '!D7/'Income statement '!D2</f>
        <v>0.5168634030869589</v>
      </c>
      <c r="E52">
        <f>'Balance sheet '!E7/'Income statement '!E2</f>
        <v>0.41130227181979695</v>
      </c>
      <c r="F52">
        <f>'Balance sheet '!F7/'Income statement '!F2</f>
        <v>0.3790731536756152</v>
      </c>
    </row>
    <row r="53" spans="1:9" ht="12">
      <c r="A53" s="27" t="s">
        <v>59</v>
      </c>
      <c r="F53">
        <f>AVERAGE(B52:F52)</f>
        <v>0.5378954230511293</v>
      </c>
      <c r="G53">
        <f>F53</f>
        <v>0.5378954230511293</v>
      </c>
      <c r="H53">
        <f>G53</f>
        <v>0.5378954230511293</v>
      </c>
      <c r="I53">
        <f>H53</f>
        <v>0.5378954230511293</v>
      </c>
    </row>
    <row r="55" spans="1:6" ht="12">
      <c r="A55" s="27" t="s">
        <v>84</v>
      </c>
      <c r="B55">
        <f>'Balance sheet '!B8/'Income statement '!B2</f>
        <v>0.011047694736521101</v>
      </c>
      <c r="C55">
        <f>'Balance sheet '!C8/'Income statement '!C2</f>
        <v>0.012312643014682339</v>
      </c>
      <c r="D55">
        <f>'Balance sheet '!D8/'Income statement '!D2</f>
        <v>0.009267214840064842</v>
      </c>
      <c r="E55">
        <f>'Balance sheet '!E8/'Income statement '!E2</f>
        <v>0.008125006404076545</v>
      </c>
      <c r="F55">
        <f>'Balance sheet '!F8/'Income statement '!F2</f>
        <v>0.014409991907401352</v>
      </c>
    </row>
    <row r="56" spans="1:9" ht="12">
      <c r="A56" s="27" t="s">
        <v>59</v>
      </c>
      <c r="F56">
        <f>AVERAGE(B55:F55)</f>
        <v>0.011032510180549236</v>
      </c>
      <c r="G56">
        <f>F56</f>
        <v>0.011032510180549236</v>
      </c>
      <c r="H56">
        <f>G56</f>
        <v>0.011032510180549236</v>
      </c>
      <c r="I56">
        <f>H56</f>
        <v>0.011032510180549236</v>
      </c>
    </row>
    <row r="58" spans="1:6" ht="12">
      <c r="A58" s="27" t="s">
        <v>85</v>
      </c>
      <c r="B58">
        <f>'Balance sheet '!B9/'Income statement '!B2</f>
        <v>0.12100981640372194</v>
      </c>
      <c r="C58">
        <f>'Balance sheet '!C9/'Income statement '!C2</f>
        <v>0.11429575450828267</v>
      </c>
      <c r="D58">
        <f>'Balance sheet '!D9/'Income statement '!D2</f>
        <v>0.07727281875265071</v>
      </c>
      <c r="E58">
        <f>'Balance sheet '!E9/'Income statement '!E2</f>
        <v>0.04185925449861543</v>
      </c>
      <c r="F58">
        <f>'Balance sheet '!F9/'Income statement '!F2</f>
        <v>0.07781375037979181</v>
      </c>
    </row>
    <row r="59" spans="1:9" ht="12">
      <c r="A59" s="27" t="s">
        <v>59</v>
      </c>
      <c r="F59">
        <f>AVERAGE(B58:F58)</f>
        <v>0.08645027890861252</v>
      </c>
      <c r="G59">
        <f>F59</f>
        <v>0.08645027890861252</v>
      </c>
      <c r="H59">
        <f>G59</f>
        <v>0.08645027890861252</v>
      </c>
      <c r="I59">
        <f>H59</f>
        <v>0.08645027890861252</v>
      </c>
    </row>
    <row r="61" spans="1:6" ht="12">
      <c r="A61" s="27" t="s">
        <v>86</v>
      </c>
      <c r="C61">
        <f>('Balance sheet '!C19-'Balance sheet '!B19)/'Balance sheet '!B19</f>
        <v>0.08093124519438226</v>
      </c>
      <c r="D61">
        <f>('Balance sheet '!D19-'Balance sheet '!C19)/'Balance sheet '!C19</f>
        <v>0.13786941488062143</v>
      </c>
      <c r="E61">
        <f>('Balance sheet '!E19-'Balance sheet '!D19)/'Balance sheet '!D19</f>
        <v>0.03518273657847167</v>
      </c>
      <c r="F61">
        <f>('Balance sheet '!F19-'Balance sheet '!E19)/'Balance sheet '!E19</f>
        <v>0.14144355116458068</v>
      </c>
    </row>
    <row r="62" spans="1:9" ht="12">
      <c r="A62" s="27" t="s">
        <v>72</v>
      </c>
      <c r="F62">
        <f>AVERAGE(C61:F61)</f>
        <v>0.09885673695451401</v>
      </c>
      <c r="G62">
        <f>F62</f>
        <v>0.09885673695451401</v>
      </c>
      <c r="H62">
        <f>G62</f>
        <v>0.09885673695451401</v>
      </c>
      <c r="I62">
        <f>H62</f>
        <v>0.09885673695451401</v>
      </c>
    </row>
    <row r="64" spans="1:6" ht="12">
      <c r="A64" s="27" t="s">
        <v>87</v>
      </c>
      <c r="C64">
        <f>('Balance sheet '!C20-'Balance sheet '!B20)/'Balance sheet '!B20</f>
        <v>-0.12501173189218123</v>
      </c>
      <c r="D64">
        <f>('Balance sheet '!D20-'Balance sheet '!C20)/'Balance sheet '!C20</f>
        <v>-0.2238401639606316</v>
      </c>
      <c r="E64">
        <f>('Balance sheet '!E20-'Balance sheet '!D20)/'Balance sheet '!D20</f>
        <v>-0.18286575471070024</v>
      </c>
      <c r="F64">
        <f>('Balance sheet '!F20-'Balance sheet '!E20)/'Balance sheet '!E20</f>
        <v>-0.20829497814114106</v>
      </c>
    </row>
    <row r="65" spans="1:9" ht="12">
      <c r="A65" s="27" t="s">
        <v>72</v>
      </c>
      <c r="F65">
        <f>AVERAGE(C64:F64)</f>
        <v>-0.18500315717616353</v>
      </c>
      <c r="G65">
        <f>F65</f>
        <v>-0.18500315717616353</v>
      </c>
      <c r="H65">
        <f>G65</f>
        <v>-0.18500315717616353</v>
      </c>
      <c r="I65">
        <f>H65</f>
        <v>-0.18500315717616353</v>
      </c>
    </row>
    <row r="67" spans="1:6" ht="12">
      <c r="A67" t="s">
        <v>88</v>
      </c>
      <c r="B67">
        <f>'Balance sheet '!B24/'Income statement '!B2</f>
        <v>0.07133880424185791</v>
      </c>
      <c r="C67">
        <f>'Balance sheet '!C24/'Income statement '!C2</f>
        <v>0.04155076024495654</v>
      </c>
      <c r="D67">
        <f>'Balance sheet '!D24/'Income statement '!D2</f>
        <v>0.06153300855223524</v>
      </c>
      <c r="E67">
        <f>'Balance sheet '!E24/'Income statement '!E2</f>
        <v>0.09906504179626398</v>
      </c>
      <c r="F67">
        <f>'Balance sheet '!F24/'Income statement '!F2</f>
        <v>0.06328128094273892</v>
      </c>
    </row>
    <row r="68" spans="1:9" ht="12">
      <c r="A68" t="s">
        <v>59</v>
      </c>
      <c r="F68">
        <f>AVERAGE(B67:F67)</f>
        <v>0.06735377915561051</v>
      </c>
      <c r="G68">
        <f>F68</f>
        <v>0.06735377915561051</v>
      </c>
      <c r="H68">
        <f>G68</f>
        <v>0.06735377915561051</v>
      </c>
      <c r="I68">
        <f>H68</f>
        <v>0.06735377915561051</v>
      </c>
    </row>
    <row r="70" spans="1:6" ht="12">
      <c r="A70" t="s">
        <v>89</v>
      </c>
      <c r="B70">
        <f>'Balance sheet '!B25/'Income statement '!B2</f>
        <v>0.014330415713517449</v>
      </c>
      <c r="C70">
        <f>'Balance sheet '!C25/'Income statement '!C2</f>
        <v>0.0160372956746619</v>
      </c>
      <c r="D70">
        <f>'Balance sheet '!D25/'Income statement '!D2</f>
        <v>0.013346795273387366</v>
      </c>
      <c r="E70">
        <f>'Balance sheet '!E25/'Income statement '!E2</f>
        <v>0.01211682891532564</v>
      </c>
      <c r="F70">
        <f>'Balance sheet '!F25/'Income statement '!F2</f>
        <v>0.010822775713309335</v>
      </c>
    </row>
    <row r="71" spans="1:9" ht="12">
      <c r="A71" t="s">
        <v>59</v>
      </c>
      <c r="F71">
        <f>AVERAGE(B70:F70)</f>
        <v>0.013330822258040336</v>
      </c>
      <c r="G71">
        <f>F71</f>
        <v>0.013330822258040336</v>
      </c>
      <c r="H71">
        <f>G71</f>
        <v>0.013330822258040336</v>
      </c>
      <c r="I71">
        <f>H71</f>
        <v>0.013330822258040336</v>
      </c>
    </row>
    <row r="73" spans="1:6" ht="12">
      <c r="A73" t="s">
        <v>90</v>
      </c>
      <c r="B73">
        <f>'Balance sheet '!B26/'Income statement '!B2</f>
        <v>0.0655097239909475</v>
      </c>
      <c r="C73">
        <f>'Balance sheet '!C26/'Income statement '!C2</f>
        <v>0.08404249433356611</v>
      </c>
      <c r="D73">
        <f>'Balance sheet '!D26/'Income statement '!D2</f>
        <v>0.0463695480621018</v>
      </c>
      <c r="E73">
        <f>'Balance sheet '!E26/'Income statement '!E2</f>
        <v>0.02634418956316848</v>
      </c>
      <c r="F73">
        <f>'Balance sheet '!F26/'Income statement '!F2</f>
        <v>0.03928812065364872</v>
      </c>
    </row>
    <row r="74" spans="1:9" ht="12">
      <c r="A74" t="s">
        <v>59</v>
      </c>
      <c r="F74">
        <f>AVERAGE(B73:F73)</f>
        <v>0.05231081532068652</v>
      </c>
      <c r="G74">
        <f>F74</f>
        <v>0.05231081532068652</v>
      </c>
      <c r="H74">
        <f>G74</f>
        <v>0.05231081532068652</v>
      </c>
      <c r="I74">
        <f>H74</f>
        <v>0.05231081532068652</v>
      </c>
    </row>
    <row r="76" spans="1:6" ht="12">
      <c r="A76" t="s">
        <v>91</v>
      </c>
      <c r="B76">
        <f>'Balance sheet '!B27/'Income statement '!B2</f>
        <v>0.1819632615823349</v>
      </c>
      <c r="C76">
        <f>'Balance sheet '!C27/'Income statement '!C2</f>
        <v>0.1780904032107926</v>
      </c>
      <c r="D76">
        <f>'Balance sheet '!D27/'Income statement '!D2</f>
        <v>0.12335216397298336</v>
      </c>
      <c r="E76">
        <f>'Balance sheet '!E27/'Income statement '!E2</f>
        <v>0.0790671094648672</v>
      </c>
      <c r="F76">
        <f>'Balance sheet '!F27/'Income statement '!F2</f>
        <v>0.1166058973527246</v>
      </c>
    </row>
    <row r="77" spans="1:9" ht="12">
      <c r="A77" t="s">
        <v>59</v>
      </c>
      <c r="F77">
        <f>AVERAGE(B76:F76)</f>
        <v>0.13581576711674054</v>
      </c>
      <c r="G77">
        <f>F77</f>
        <v>0.13581576711674054</v>
      </c>
      <c r="H77">
        <f>G77</f>
        <v>0.13581576711674054</v>
      </c>
      <c r="I77">
        <f>H77</f>
        <v>0.13581576711674054</v>
      </c>
    </row>
    <row r="79" spans="1:6" ht="12">
      <c r="A79" t="s">
        <v>92</v>
      </c>
      <c r="B79">
        <f>'Balance sheet '!B28/'Income statement '!B2</f>
        <v>0.04334277308088306</v>
      </c>
      <c r="C79">
        <f>'Balance sheet '!C28/'Income statement '!C2</f>
        <v>0.047035831459877844</v>
      </c>
      <c r="D79">
        <f>'Balance sheet '!D28/'Income statement '!D2</f>
        <v>0.04254349755745369</v>
      </c>
      <c r="E79">
        <f>'Balance sheet '!E28/'Income statement '!E2</f>
        <v>0.04466483360902925</v>
      </c>
      <c r="F79">
        <f>'Balance sheet '!F28/'Income statement '!F2</f>
        <v>0.030054907345863666</v>
      </c>
    </row>
    <row r="80" spans="1:9" ht="12">
      <c r="A80" t="s">
        <v>59</v>
      </c>
      <c r="F80">
        <f>AVERAGE(B79:F79)</f>
        <v>0.0415283686106215</v>
      </c>
      <c r="G80">
        <f>F80</f>
        <v>0.0415283686106215</v>
      </c>
      <c r="H80">
        <f>G80</f>
        <v>0.0415283686106215</v>
      </c>
      <c r="I80">
        <f>H80</f>
        <v>0.0415283686106215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3" sqref="A13"/>
    </sheetView>
  </sheetViews>
  <sheetFormatPr defaultColWidth="8.8515625" defaultRowHeight="12.75"/>
  <cols>
    <col min="1" max="1" width="114.00390625" style="0" customWidth="1"/>
  </cols>
  <sheetData>
    <row r="1" ht="12">
      <c r="A1" s="27" t="s">
        <v>125</v>
      </c>
    </row>
    <row r="2" ht="12">
      <c r="A2" s="27" t="s">
        <v>126</v>
      </c>
    </row>
    <row r="3" ht="12">
      <c r="A3" s="27" t="s">
        <v>127</v>
      </c>
    </row>
    <row r="4" ht="12">
      <c r="A4" s="27" t="s">
        <v>128</v>
      </c>
    </row>
    <row r="5" ht="12">
      <c r="A5" s="27" t="s">
        <v>129</v>
      </c>
    </row>
    <row r="6" ht="12">
      <c r="A6" s="27" t="s">
        <v>130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58">
      <selection activeCell="K68" sqref="K68"/>
    </sheetView>
  </sheetViews>
  <sheetFormatPr defaultColWidth="8.8515625" defaultRowHeight="12.75"/>
  <cols>
    <col min="1" max="1" width="22.140625" style="0" customWidth="1"/>
    <col min="2" max="2" width="20.421875" style="0" customWidth="1"/>
    <col min="3" max="3" width="12.421875" style="0" customWidth="1"/>
    <col min="4" max="4" width="10.28125" style="0" customWidth="1"/>
    <col min="5" max="5" width="12.28125" style="0" customWidth="1"/>
  </cols>
  <sheetData>
    <row r="1" spans="1:5" ht="12">
      <c r="A1" t="s">
        <v>52</v>
      </c>
      <c r="B1" t="s">
        <v>53</v>
      </c>
      <c r="C1" t="s">
        <v>54</v>
      </c>
      <c r="D1" t="s">
        <v>94</v>
      </c>
      <c r="E1" t="s">
        <v>95</v>
      </c>
    </row>
    <row r="2" spans="1:5" ht="12.75">
      <c r="A2" s="6" t="s">
        <v>45</v>
      </c>
      <c r="B2" s="11">
        <v>2613.5</v>
      </c>
      <c r="C2" s="19">
        <v>8290.41285</v>
      </c>
      <c r="D2">
        <f>(B2-B3)/B3</f>
        <v>-0.04738472753781666</v>
      </c>
      <c r="E2" s="37">
        <f>(C2-C3)/C3</f>
        <v>-0.03627210144067134</v>
      </c>
    </row>
    <row r="3" spans="1:5" ht="12.75">
      <c r="A3" s="6" t="s">
        <v>46</v>
      </c>
      <c r="B3" s="12">
        <v>2743.5</v>
      </c>
      <c r="C3" s="19">
        <v>8602.44148</v>
      </c>
      <c r="D3">
        <f aca="true" t="shared" si="0" ref="D3:D60">(B3-B4)/B4</f>
        <v>-0.0008194482381862879</v>
      </c>
      <c r="E3" s="37">
        <f aca="true" t="shared" si="1" ref="E3:E60">(C3-C4)/C4</f>
        <v>0.08109972547181797</v>
      </c>
    </row>
    <row r="4" spans="1:5" ht="12.75">
      <c r="A4" s="5" t="s">
        <v>47</v>
      </c>
      <c r="B4" s="11">
        <v>2745.75</v>
      </c>
      <c r="C4" s="19">
        <v>7957.12114</v>
      </c>
      <c r="D4">
        <f t="shared" si="0"/>
        <v>-0.015242535640634807</v>
      </c>
      <c r="E4" s="37">
        <f t="shared" si="1"/>
        <v>0.12113474918693966</v>
      </c>
    </row>
    <row r="5" spans="1:5" ht="12.75">
      <c r="A5" s="6" t="s">
        <v>48</v>
      </c>
      <c r="B5" s="11">
        <v>2788.25</v>
      </c>
      <c r="C5" s="19">
        <v>7097.3816</v>
      </c>
      <c r="D5">
        <f t="shared" si="0"/>
        <v>-0.04192079718237265</v>
      </c>
      <c r="E5" s="37">
        <f t="shared" si="1"/>
        <v>0.06599703843584732</v>
      </c>
    </row>
    <row r="6" spans="1:5" ht="12.75">
      <c r="A6" s="6" t="s">
        <v>49</v>
      </c>
      <c r="B6" s="11">
        <v>2910.25</v>
      </c>
      <c r="C6" s="19">
        <v>6657.97497</v>
      </c>
      <c r="D6">
        <f t="shared" si="0"/>
        <v>0.30416760026887746</v>
      </c>
      <c r="E6" s="37">
        <f t="shared" si="1"/>
        <v>0.04969713104729175</v>
      </c>
    </row>
    <row r="7" spans="1:5" ht="12.75">
      <c r="A7" s="6" t="s">
        <v>50</v>
      </c>
      <c r="B7" s="13">
        <v>2231.5</v>
      </c>
      <c r="C7" s="19">
        <v>6342.75809</v>
      </c>
      <c r="D7">
        <f t="shared" si="0"/>
        <v>0.02976465159206276</v>
      </c>
      <c r="E7" s="37">
        <f t="shared" si="1"/>
        <v>0.030726459746133868</v>
      </c>
    </row>
    <row r="8" spans="1:5" ht="12.75">
      <c r="A8" s="7" t="s">
        <v>51</v>
      </c>
      <c r="B8" s="14">
        <v>2167</v>
      </c>
      <c r="C8" s="19">
        <v>6153.67737</v>
      </c>
      <c r="D8">
        <f t="shared" si="0"/>
        <v>0.08052854649713288</v>
      </c>
      <c r="E8" s="37">
        <f t="shared" si="1"/>
        <v>0.007508986177555338</v>
      </c>
    </row>
    <row r="9" spans="1:5" ht="12.75">
      <c r="A9" s="8">
        <v>40329</v>
      </c>
      <c r="B9" s="14">
        <v>2005.5</v>
      </c>
      <c r="C9" s="20">
        <v>6107.81388</v>
      </c>
      <c r="D9">
        <f t="shared" si="0"/>
        <v>0.027934392619169655</v>
      </c>
      <c r="E9" s="37">
        <f t="shared" si="1"/>
        <v>0.0800966391273831</v>
      </c>
    </row>
    <row r="10" spans="1:5" ht="12.75">
      <c r="A10" s="8">
        <v>40297</v>
      </c>
      <c r="B10" s="11">
        <v>1951</v>
      </c>
      <c r="C10" s="20">
        <v>5654.87722</v>
      </c>
      <c r="D10">
        <f t="shared" si="0"/>
        <v>-0.029232491603433264</v>
      </c>
      <c r="E10" s="37">
        <f t="shared" si="1"/>
        <v>0.012995090648709821</v>
      </c>
    </row>
    <row r="11" spans="1:5" ht="12.75">
      <c r="A11" s="8">
        <v>40268</v>
      </c>
      <c r="B11" s="15">
        <v>2009.75</v>
      </c>
      <c r="C11" s="20">
        <v>5582.33428</v>
      </c>
      <c r="D11">
        <f t="shared" si="0"/>
        <v>-0.021900474510281057</v>
      </c>
      <c r="E11" s="37">
        <f t="shared" si="1"/>
        <v>0.003915655244744951</v>
      </c>
    </row>
    <row r="12" spans="1:5" ht="15">
      <c r="A12" s="8">
        <v>40237</v>
      </c>
      <c r="B12" s="15">
        <v>2054.75</v>
      </c>
      <c r="C12" s="28">
        <v>5560.56104</v>
      </c>
      <c r="D12">
        <f t="shared" si="0"/>
        <v>-0.11251484720872476</v>
      </c>
      <c r="E12" s="37">
        <f t="shared" si="1"/>
        <v>0.036044454499851976</v>
      </c>
    </row>
    <row r="13" spans="1:5" ht="12.75">
      <c r="A13" s="8">
        <v>40208</v>
      </c>
      <c r="B13" s="16">
        <v>2315.25</v>
      </c>
      <c r="C13" s="20">
        <v>5367.10661</v>
      </c>
      <c r="D13">
        <f t="shared" si="0"/>
        <v>0.2519940516425578</v>
      </c>
      <c r="E13" s="37">
        <f t="shared" si="1"/>
        <v>0.1833467152261767</v>
      </c>
    </row>
    <row r="14" spans="1:5" ht="12.75">
      <c r="A14" s="8">
        <v>40177</v>
      </c>
      <c r="B14" s="17">
        <v>1849.25</v>
      </c>
      <c r="C14" s="20">
        <v>4535.53176</v>
      </c>
      <c r="D14">
        <f t="shared" si="0"/>
        <v>0.06846742741586018</v>
      </c>
      <c r="E14" s="37">
        <f t="shared" si="1"/>
        <v>0.03528544458479614</v>
      </c>
    </row>
    <row r="15" spans="1:5" ht="12.75">
      <c r="A15" s="8">
        <v>40143</v>
      </c>
      <c r="B15" s="18">
        <v>1730.75</v>
      </c>
      <c r="C15" s="20">
        <v>4380.94806</v>
      </c>
      <c r="D15">
        <f t="shared" si="0"/>
        <v>0.02837195484254308</v>
      </c>
      <c r="E15" s="37">
        <f t="shared" si="1"/>
        <v>0.30220184313771203</v>
      </c>
    </row>
    <row r="16" spans="1:5" ht="12.75">
      <c r="A16" s="8">
        <v>40115</v>
      </c>
      <c r="B16" s="15">
        <v>1683</v>
      </c>
      <c r="C16" s="20">
        <v>3364.26191</v>
      </c>
      <c r="D16">
        <f t="shared" si="0"/>
        <v>0.14880546075085324</v>
      </c>
      <c r="E16" s="37">
        <f t="shared" si="1"/>
        <v>0.09091642079911755</v>
      </c>
    </row>
    <row r="17" spans="1:5" ht="12.75">
      <c r="A17" s="8">
        <v>40086</v>
      </c>
      <c r="B17" s="16">
        <v>1465</v>
      </c>
      <c r="C17" s="20">
        <v>3083.88603</v>
      </c>
      <c r="D17">
        <f t="shared" si="0"/>
        <v>0.09737827715355805</v>
      </c>
      <c r="E17" s="37">
        <f t="shared" si="1"/>
        <v>0.048483074511863886</v>
      </c>
    </row>
    <row r="18" spans="1:5" ht="12.75">
      <c r="A18" s="8">
        <v>40056</v>
      </c>
      <c r="B18" s="29">
        <v>1335</v>
      </c>
      <c r="C18" s="20">
        <v>2941.28356</v>
      </c>
      <c r="D18">
        <f t="shared" si="0"/>
        <v>0.009070294784580499</v>
      </c>
      <c r="E18" s="37">
        <f t="shared" si="1"/>
        <v>0.00917808214900973</v>
      </c>
    </row>
    <row r="19" spans="1:5" ht="15">
      <c r="A19" s="8">
        <v>40024</v>
      </c>
      <c r="B19" s="30">
        <v>1323</v>
      </c>
      <c r="C19" s="20">
        <v>2914.53373</v>
      </c>
      <c r="D19">
        <f t="shared" si="0"/>
        <v>0.03258536585365854</v>
      </c>
      <c r="E19" s="37">
        <f t="shared" si="1"/>
        <v>-0.031801219653245026</v>
      </c>
    </row>
    <row r="20" spans="1:5" ht="12.75">
      <c r="A20" s="8">
        <v>39994</v>
      </c>
      <c r="B20" s="16">
        <v>1281.25</v>
      </c>
      <c r="C20" s="20">
        <v>3010.26379</v>
      </c>
      <c r="D20">
        <f t="shared" si="0"/>
        <v>0.16028978944985284</v>
      </c>
      <c r="E20" s="37">
        <f t="shared" si="1"/>
        <v>0.17031600257325663</v>
      </c>
    </row>
    <row r="21" spans="1:5" ht="12.75">
      <c r="A21" s="8">
        <v>39964</v>
      </c>
      <c r="B21" s="17">
        <v>1104.25</v>
      </c>
      <c r="C21" s="20">
        <v>2572.18032</v>
      </c>
      <c r="D21">
        <f t="shared" si="0"/>
        <v>-0.006969424460431655</v>
      </c>
      <c r="E21" s="37">
        <f t="shared" si="1"/>
        <v>0.006978285283961776</v>
      </c>
    </row>
    <row r="22" spans="1:5" ht="12.75">
      <c r="A22" s="8">
        <v>39933</v>
      </c>
      <c r="B22" s="18">
        <v>1112</v>
      </c>
      <c r="C22" s="20">
        <v>2554.3553</v>
      </c>
      <c r="D22">
        <f t="shared" si="0"/>
        <v>-0.05442176870748299</v>
      </c>
      <c r="E22" s="37">
        <f t="shared" si="1"/>
        <v>0.043905379502761105</v>
      </c>
    </row>
    <row r="23" spans="1:5" ht="12.75">
      <c r="A23" s="8">
        <v>39903</v>
      </c>
      <c r="B23" s="18">
        <v>1176</v>
      </c>
      <c r="C23" s="20">
        <v>2446.92225</v>
      </c>
      <c r="D23">
        <f t="shared" si="0"/>
        <v>0.09369913973494536</v>
      </c>
      <c r="E23" s="37">
        <f t="shared" si="1"/>
        <v>-0.04824720830698179</v>
      </c>
    </row>
    <row r="24" spans="1:5" ht="12.75">
      <c r="A24" s="8">
        <v>39870</v>
      </c>
      <c r="B24" s="18">
        <v>1075.25</v>
      </c>
      <c r="C24" s="20">
        <v>2570.96409</v>
      </c>
      <c r="D24">
        <f t="shared" si="0"/>
        <v>0.07902659307576518</v>
      </c>
      <c r="E24" s="37">
        <f t="shared" si="1"/>
        <v>-0.029639679346350815</v>
      </c>
    </row>
    <row r="25" spans="1:5" ht="15">
      <c r="A25" s="8">
        <v>39842</v>
      </c>
      <c r="B25" s="18">
        <v>996.5</v>
      </c>
      <c r="C25" s="31">
        <v>2649.49425</v>
      </c>
      <c r="D25">
        <f t="shared" si="0"/>
        <v>-0.09140642808297242</v>
      </c>
      <c r="E25" s="37">
        <f t="shared" si="1"/>
        <v>-0.05217460130073621</v>
      </c>
    </row>
    <row r="26" spans="1:5" ht="15">
      <c r="A26" s="9">
        <v>39812</v>
      </c>
      <c r="B26" s="18">
        <v>1096.75</v>
      </c>
      <c r="C26" s="31">
        <v>2795.34</v>
      </c>
      <c r="D26">
        <f t="shared" si="0"/>
        <v>0.19050203527815468</v>
      </c>
      <c r="E26" s="37">
        <f t="shared" si="1"/>
        <v>0.1322123661071106</v>
      </c>
    </row>
    <row r="27" spans="1:5" ht="15">
      <c r="A27" s="9">
        <v>39782</v>
      </c>
      <c r="B27" s="18">
        <v>921.25</v>
      </c>
      <c r="C27" s="31">
        <v>2468.91845</v>
      </c>
      <c r="D27">
        <f t="shared" si="0"/>
        <v>-0.14002333722287047</v>
      </c>
      <c r="E27" s="37">
        <f t="shared" si="1"/>
        <v>-0.10175344210882392</v>
      </c>
    </row>
    <row r="28" spans="1:5" ht="15">
      <c r="A28" s="9">
        <v>39751</v>
      </c>
      <c r="B28" s="32">
        <v>1071.25</v>
      </c>
      <c r="C28" s="31">
        <v>2748.59773</v>
      </c>
      <c r="D28">
        <f t="shared" si="0"/>
        <v>0.13962765957446807</v>
      </c>
      <c r="E28" s="37">
        <f t="shared" si="1"/>
        <v>-0.07355368916022038</v>
      </c>
    </row>
    <row r="29" spans="1:5" ht="15">
      <c r="A29" s="9">
        <v>39716</v>
      </c>
      <c r="B29" s="33">
        <v>940</v>
      </c>
      <c r="C29" s="31">
        <v>2966.81815</v>
      </c>
      <c r="D29">
        <f t="shared" si="0"/>
        <v>0.004273504273504274</v>
      </c>
      <c r="E29" s="37">
        <f t="shared" si="1"/>
        <v>0.06291851175121821</v>
      </c>
    </row>
    <row r="30" spans="1:5" ht="12.75">
      <c r="A30" s="9">
        <v>39691</v>
      </c>
      <c r="B30" s="18">
        <v>936</v>
      </c>
      <c r="C30" s="23">
        <v>2791.2</v>
      </c>
      <c r="D30">
        <f t="shared" si="0"/>
        <v>-0.04684317718940937</v>
      </c>
      <c r="E30" s="37">
        <f t="shared" si="1"/>
        <v>0.010919758787417697</v>
      </c>
    </row>
    <row r="31" spans="1:5" ht="15">
      <c r="A31" s="9">
        <v>39659</v>
      </c>
      <c r="B31" s="18">
        <v>982</v>
      </c>
      <c r="C31" s="31">
        <v>2761.05</v>
      </c>
      <c r="D31">
        <f t="shared" si="0"/>
        <v>-0.09137173259310664</v>
      </c>
      <c r="E31" s="37">
        <f t="shared" si="1"/>
        <v>-0.07980029928445008</v>
      </c>
    </row>
    <row r="32" spans="1:5" ht="12.75">
      <c r="A32" s="9">
        <v>39629</v>
      </c>
      <c r="B32" s="33">
        <v>1080.75</v>
      </c>
      <c r="C32" s="23">
        <v>3000.49</v>
      </c>
      <c r="D32">
        <f t="shared" si="0"/>
        <v>-0.07844809209123854</v>
      </c>
      <c r="E32" s="37">
        <f t="shared" si="1"/>
        <v>-0.052872641643439536</v>
      </c>
    </row>
    <row r="33" spans="1:5" ht="12.75">
      <c r="A33" s="9">
        <v>39597</v>
      </c>
      <c r="B33" s="33">
        <v>1172.75</v>
      </c>
      <c r="C33" s="23">
        <v>3167.99</v>
      </c>
      <c r="D33">
        <f t="shared" si="0"/>
        <v>0.19515923566878982</v>
      </c>
      <c r="E33" s="37">
        <f t="shared" si="1"/>
        <v>0.030961485266120987</v>
      </c>
    </row>
    <row r="34" spans="1:5" ht="12.75">
      <c r="A34" s="9">
        <v>39568</v>
      </c>
      <c r="B34" s="33">
        <v>981.25</v>
      </c>
      <c r="C34" s="21">
        <v>3072.85</v>
      </c>
      <c r="D34">
        <f t="shared" si="0"/>
        <v>0.012119649303764827</v>
      </c>
      <c r="E34" s="37">
        <f t="shared" si="1"/>
        <v>0.018684304832538714</v>
      </c>
    </row>
    <row r="35" spans="1:5" ht="12.75">
      <c r="A35" s="9">
        <v>39538</v>
      </c>
      <c r="B35" s="34">
        <v>969.5</v>
      </c>
      <c r="C35" s="19">
        <v>3016.489</v>
      </c>
      <c r="D35">
        <f t="shared" si="0"/>
        <v>0.24454428754813864</v>
      </c>
      <c r="E35" s="37">
        <f t="shared" si="1"/>
        <v>0.02903376566668256</v>
      </c>
    </row>
    <row r="36" spans="1:5" ht="12.75">
      <c r="A36" s="10">
        <v>39506</v>
      </c>
      <c r="B36" s="34">
        <v>779</v>
      </c>
      <c r="C36" s="22">
        <v>2931.38</v>
      </c>
      <c r="D36">
        <f t="shared" si="0"/>
        <v>0.067854694996573</v>
      </c>
      <c r="E36" s="37">
        <f t="shared" si="1"/>
        <v>0.008329073743982951</v>
      </c>
    </row>
    <row r="37" spans="1:5" ht="12.75">
      <c r="A37" s="10">
        <v>39478</v>
      </c>
      <c r="B37" s="17">
        <v>729.5</v>
      </c>
      <c r="C37" s="21">
        <v>2907.166</v>
      </c>
      <c r="D37">
        <f t="shared" si="0"/>
        <v>-0.02992021276595745</v>
      </c>
      <c r="E37" s="37">
        <f t="shared" si="1"/>
        <v>-0.03647210502417792</v>
      </c>
    </row>
    <row r="38" spans="1:5" ht="12.75">
      <c r="A38" s="10">
        <v>39446</v>
      </c>
      <c r="B38" s="17">
        <v>752</v>
      </c>
      <c r="C38" s="22">
        <v>3017.21</v>
      </c>
      <c r="D38">
        <f t="shared" si="0"/>
        <v>-0.029051000645577793</v>
      </c>
      <c r="E38" s="37">
        <f t="shared" si="1"/>
        <v>0.015516086580436237</v>
      </c>
    </row>
    <row r="39" spans="1:5" ht="12.75">
      <c r="A39" s="10">
        <v>39415</v>
      </c>
      <c r="B39" s="17">
        <v>774.5</v>
      </c>
      <c r="C39" s="22">
        <v>2971.11</v>
      </c>
      <c r="D39">
        <f t="shared" si="0"/>
        <v>-0.05950212507589557</v>
      </c>
      <c r="E39" s="37">
        <f t="shared" si="1"/>
        <v>0.04219853304850207</v>
      </c>
    </row>
    <row r="40" spans="1:5" ht="12.75">
      <c r="A40" s="10">
        <v>39386</v>
      </c>
      <c r="B40" s="18">
        <v>823.5</v>
      </c>
      <c r="C40" s="22">
        <v>2850.81</v>
      </c>
      <c r="D40">
        <f t="shared" si="0"/>
        <v>-0.005734983398732267</v>
      </c>
      <c r="E40" s="37">
        <f t="shared" si="1"/>
        <v>0.11862710860156414</v>
      </c>
    </row>
    <row r="41" spans="1:5" ht="12.75">
      <c r="A41" s="10">
        <v>39355</v>
      </c>
      <c r="B41" s="17">
        <v>828.25</v>
      </c>
      <c r="C41" s="25">
        <v>2548.49</v>
      </c>
      <c r="D41">
        <f t="shared" si="0"/>
        <v>0.20472727272727273</v>
      </c>
      <c r="E41" s="37">
        <f t="shared" si="1"/>
        <v>0.03804763999543797</v>
      </c>
    </row>
    <row r="42" spans="1:5" ht="12.75">
      <c r="A42" s="10">
        <v>39323</v>
      </c>
      <c r="B42" s="17">
        <v>687.5</v>
      </c>
      <c r="C42" s="22">
        <v>2455.08</v>
      </c>
      <c r="D42">
        <f t="shared" si="0"/>
        <v>0.01177336276674025</v>
      </c>
      <c r="E42" s="37">
        <f t="shared" si="1"/>
        <v>0.029737687590702083</v>
      </c>
    </row>
    <row r="43" spans="1:5" ht="12.75">
      <c r="A43" s="10">
        <v>39294</v>
      </c>
      <c r="B43" s="17">
        <v>679.5</v>
      </c>
      <c r="C43" s="24">
        <v>2384.18</v>
      </c>
      <c r="D43">
        <f t="shared" si="0"/>
        <v>0.10218978102189781</v>
      </c>
      <c r="E43" s="37">
        <f t="shared" si="1"/>
        <v>0.10927176967599038</v>
      </c>
    </row>
    <row r="44" spans="1:5" ht="12.75">
      <c r="A44" s="9">
        <v>39261</v>
      </c>
      <c r="B44" s="17">
        <v>616.5</v>
      </c>
      <c r="C44" s="20">
        <v>2149.32</v>
      </c>
      <c r="D44">
        <f t="shared" si="0"/>
        <v>-0.020651310563939634</v>
      </c>
      <c r="E44" s="37">
        <f t="shared" si="1"/>
        <v>0.07273979576557973</v>
      </c>
    </row>
    <row r="45" spans="1:5" ht="12.75">
      <c r="A45" s="9">
        <v>39233</v>
      </c>
      <c r="B45" s="17">
        <v>629.5</v>
      </c>
      <c r="C45" s="20">
        <v>2003.58</v>
      </c>
      <c r="D45">
        <f t="shared" si="0"/>
        <v>0.1679035250463822</v>
      </c>
      <c r="E45" s="37">
        <f t="shared" si="1"/>
        <v>0.14928326822804633</v>
      </c>
    </row>
    <row r="46" spans="1:5" ht="12.75">
      <c r="A46" s="9">
        <v>39202</v>
      </c>
      <c r="B46" s="17">
        <v>539</v>
      </c>
      <c r="C46" s="20">
        <v>1743.33</v>
      </c>
      <c r="D46">
        <f t="shared" si="0"/>
        <v>0.015544041450777202</v>
      </c>
      <c r="E46" s="37">
        <f t="shared" si="1"/>
        <v>-0.009966607605288367</v>
      </c>
    </row>
    <row r="47" spans="1:5" ht="12.75">
      <c r="A47" s="9">
        <v>39170</v>
      </c>
      <c r="B47" s="18">
        <v>530.75</v>
      </c>
      <c r="C47" s="21">
        <v>1760.88</v>
      </c>
      <c r="D47">
        <f t="shared" si="0"/>
        <v>0.03712750366389839</v>
      </c>
      <c r="E47" s="37">
        <f t="shared" si="1"/>
        <v>-0.017113768043135993</v>
      </c>
    </row>
    <row r="48" spans="1:5" ht="12.75">
      <c r="A48" s="9">
        <v>39141</v>
      </c>
      <c r="B48" s="18">
        <v>511.75</v>
      </c>
      <c r="C48" s="20">
        <v>1791.54</v>
      </c>
      <c r="D48">
        <f t="shared" si="0"/>
        <v>-0.028937381404174574</v>
      </c>
      <c r="E48" s="37">
        <f t="shared" si="1"/>
        <v>-0.007523034563054351</v>
      </c>
    </row>
    <row r="49" spans="1:5" ht="12.75">
      <c r="A49" s="9">
        <v>39113</v>
      </c>
      <c r="B49" s="18">
        <v>527</v>
      </c>
      <c r="C49" s="22">
        <v>1805.11998</v>
      </c>
      <c r="D49">
        <f t="shared" si="0"/>
        <v>0.08603812467800102</v>
      </c>
      <c r="E49" s="37">
        <f t="shared" si="1"/>
        <v>0.12153387055687753</v>
      </c>
    </row>
    <row r="50" spans="1:5" ht="12.75">
      <c r="A50" s="9">
        <v>39079</v>
      </c>
      <c r="B50" s="18">
        <v>485.25</v>
      </c>
      <c r="C50" s="22">
        <v>1609.51</v>
      </c>
      <c r="D50">
        <f t="shared" si="0"/>
        <v>0.004138644593895499</v>
      </c>
      <c r="E50" s="37">
        <f t="shared" si="1"/>
        <v>0.05383391497358068</v>
      </c>
    </row>
    <row r="51" spans="1:5" ht="12.75">
      <c r="A51" s="9">
        <v>39051</v>
      </c>
      <c r="B51" s="18">
        <v>483.25</v>
      </c>
      <c r="C51" s="26">
        <v>1527.29</v>
      </c>
      <c r="D51">
        <f t="shared" si="0"/>
        <v>-0.021761133603238867</v>
      </c>
      <c r="E51" s="37">
        <f t="shared" si="1"/>
        <v>-0.00931469529400326</v>
      </c>
    </row>
    <row r="52" spans="1:5" ht="12.75">
      <c r="A52" s="9">
        <v>39018</v>
      </c>
      <c r="B52" s="33">
        <v>494</v>
      </c>
      <c r="C52" s="22">
        <v>1541.65</v>
      </c>
      <c r="D52">
        <f t="shared" si="0"/>
        <v>-0.01593625498007968</v>
      </c>
      <c r="E52" s="37">
        <f t="shared" si="1"/>
        <v>-0.01336294343148604</v>
      </c>
    </row>
    <row r="53" spans="1:5" ht="12.75">
      <c r="A53" s="9">
        <v>38988</v>
      </c>
      <c r="B53" s="33">
        <v>502</v>
      </c>
      <c r="C53" s="22">
        <v>1562.53</v>
      </c>
      <c r="D53">
        <f t="shared" si="0"/>
        <v>-0.10596616206589493</v>
      </c>
      <c r="E53" s="37">
        <f t="shared" si="1"/>
        <v>-0.015468659424855681</v>
      </c>
    </row>
    <row r="54" spans="1:5" ht="12.75">
      <c r="A54" s="9">
        <v>38960</v>
      </c>
      <c r="B54" s="16">
        <v>561.5</v>
      </c>
      <c r="C54" s="22">
        <v>1587.08</v>
      </c>
      <c r="D54">
        <f t="shared" si="0"/>
        <v>0.09400876765708718</v>
      </c>
      <c r="E54" s="37">
        <f t="shared" si="1"/>
        <v>0.12814097141760436</v>
      </c>
    </row>
    <row r="55" spans="1:5" ht="12.75">
      <c r="A55" s="9">
        <v>38929</v>
      </c>
      <c r="B55" s="33">
        <v>513.25</v>
      </c>
      <c r="C55" s="22">
        <v>1406.81</v>
      </c>
      <c r="D55">
        <f t="shared" si="0"/>
        <v>0.05012787723785166</v>
      </c>
      <c r="E55" s="37">
        <f t="shared" si="1"/>
        <v>0.050234412326803604</v>
      </c>
    </row>
    <row r="56" spans="1:5" ht="12.75">
      <c r="A56" s="9">
        <v>38897</v>
      </c>
      <c r="B56" s="15">
        <v>488.75</v>
      </c>
      <c r="C56" s="22">
        <v>1339.52</v>
      </c>
      <c r="D56">
        <f t="shared" si="0"/>
        <v>-0.0847378277153558</v>
      </c>
      <c r="E56" s="37">
        <f t="shared" si="1"/>
        <v>-0.011453536426968933</v>
      </c>
    </row>
    <row r="57" spans="1:5" ht="12.75">
      <c r="A57" s="9">
        <v>38868</v>
      </c>
      <c r="B57" s="16">
        <v>534</v>
      </c>
      <c r="C57" s="22">
        <v>1355.04</v>
      </c>
      <c r="D57">
        <f t="shared" si="0"/>
        <v>-0.01838235294117647</v>
      </c>
      <c r="E57" s="37">
        <f t="shared" si="1"/>
        <v>-0.004576608608138002</v>
      </c>
    </row>
    <row r="58" spans="1:5" ht="12.75">
      <c r="A58" s="9">
        <v>38837</v>
      </c>
      <c r="B58" s="18">
        <v>544</v>
      </c>
      <c r="C58" s="22">
        <v>1361.27</v>
      </c>
      <c r="D58">
        <f t="shared" si="0"/>
        <v>-0.09821798590965602</v>
      </c>
      <c r="E58" s="37">
        <f t="shared" si="1"/>
        <v>-0.08747997345435288</v>
      </c>
    </row>
    <row r="59" spans="1:5" ht="12.75">
      <c r="A59" s="9">
        <v>38806</v>
      </c>
      <c r="B59" s="18">
        <v>603.25</v>
      </c>
      <c r="C59" s="22">
        <v>1491.77</v>
      </c>
      <c r="D59">
        <f t="shared" si="0"/>
        <v>0.021591871295512276</v>
      </c>
      <c r="E59" s="37">
        <f t="shared" si="1"/>
        <v>-0.02589736390171283</v>
      </c>
    </row>
    <row r="60" spans="1:5" ht="12.75">
      <c r="A60" s="9">
        <v>38776</v>
      </c>
      <c r="B60" s="33">
        <v>590.5</v>
      </c>
      <c r="C60" s="22">
        <v>1531.43</v>
      </c>
      <c r="D60">
        <f t="shared" si="0"/>
        <v>-0.027983539094650206</v>
      </c>
      <c r="E60" s="37">
        <f t="shared" si="1"/>
        <v>-0.06809911521657104</v>
      </c>
    </row>
    <row r="61" spans="1:3" ht="12.75">
      <c r="A61" s="9">
        <v>38748</v>
      </c>
      <c r="B61" s="4">
        <v>607.5</v>
      </c>
      <c r="C61" s="22">
        <v>1643.34</v>
      </c>
    </row>
    <row r="64" spans="1:2" ht="12">
      <c r="A64" s="1" t="s">
        <v>93</v>
      </c>
      <c r="B64" s="1">
        <f>COVAR(D2:D60,E2:E60)</f>
        <v>0.0031921040901580263</v>
      </c>
    </row>
    <row r="65" spans="1:2" ht="12">
      <c r="A65" s="1" t="s">
        <v>96</v>
      </c>
      <c r="B65" s="1">
        <f>VAR(E2:E60)</f>
        <v>0.005474157142334579</v>
      </c>
    </row>
    <row r="66" spans="1:2" ht="12">
      <c r="A66" s="1" t="s">
        <v>97</v>
      </c>
      <c r="B66" s="1">
        <f>B64/B65</f>
        <v>0.5831224802576056</v>
      </c>
    </row>
    <row r="67" spans="1:2" ht="12">
      <c r="A67" s="1" t="s">
        <v>98</v>
      </c>
      <c r="B67" s="38">
        <f>AVERAGE(E2:E60)</f>
        <v>0.030325562864957006</v>
      </c>
    </row>
    <row r="68" spans="1:2" ht="12">
      <c r="A68" s="1" t="s">
        <v>99</v>
      </c>
      <c r="B68" s="38">
        <f>B67*(12)</f>
        <v>0.36390675437948405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I12" sqref="I12"/>
    </sheetView>
  </sheetViews>
  <sheetFormatPr defaultColWidth="8.8515625" defaultRowHeight="12.75"/>
  <cols>
    <col min="1" max="1" width="29.140625" style="0" customWidth="1"/>
    <col min="2" max="2" width="15.28125" style="0" customWidth="1"/>
    <col min="3" max="3" width="12.28125" style="0" customWidth="1"/>
    <col min="4" max="4" width="12.421875" style="0" customWidth="1"/>
    <col min="5" max="5" width="11.8515625" style="0" customWidth="1"/>
  </cols>
  <sheetData>
    <row r="1" spans="1:5" ht="12">
      <c r="A1" s="1" t="s">
        <v>0</v>
      </c>
      <c r="B1" s="1">
        <v>2010</v>
      </c>
      <c r="C1" s="36">
        <v>2011</v>
      </c>
      <c r="D1" s="36">
        <v>2012</v>
      </c>
      <c r="E1" s="36">
        <v>2013</v>
      </c>
    </row>
    <row r="2" spans="1:5" ht="12">
      <c r="A2" t="s">
        <v>1</v>
      </c>
      <c r="B2">
        <v>622571342</v>
      </c>
      <c r="C2" s="35">
        <f>B2*(1+'Calculation '!G3)</f>
        <v>746183806.1081026</v>
      </c>
      <c r="D2" s="35">
        <f>C2*(1+'Calculation '!H3)</f>
        <v>894339708.4570179</v>
      </c>
      <c r="E2" s="35">
        <f>D2*(1+'Calculation '!I3)</f>
        <v>1071912185.142098</v>
      </c>
    </row>
    <row r="3" spans="1:5" ht="12">
      <c r="A3" s="27" t="s">
        <v>2</v>
      </c>
      <c r="B3" s="27">
        <v>476340355</v>
      </c>
      <c r="C3" s="35">
        <f>C2*'Calculation '!G6</f>
        <v>582593029.6117911</v>
      </c>
      <c r="D3" s="35">
        <f>D2*'Calculation '!H6</f>
        <v>698267740.4508233</v>
      </c>
      <c r="E3" s="35">
        <f>E2*'Calculation '!I6</f>
        <v>836909836.8361775</v>
      </c>
    </row>
    <row r="4" spans="1:5" ht="12">
      <c r="A4" s="27" t="s">
        <v>3</v>
      </c>
      <c r="B4" s="27">
        <f>B2-B3</f>
        <v>146230987</v>
      </c>
      <c r="C4" s="35">
        <f>C2-C3</f>
        <v>163590776.49631143</v>
      </c>
      <c r="D4" s="35">
        <f>D2-D3</f>
        <v>196071968.0061946</v>
      </c>
      <c r="E4" s="35">
        <f>E2-E3</f>
        <v>235002348.30592048</v>
      </c>
    </row>
    <row r="5" spans="1:5" ht="12">
      <c r="A5" s="27" t="s">
        <v>4</v>
      </c>
      <c r="B5" s="27">
        <v>65098163</v>
      </c>
      <c r="C5" s="35">
        <f>C2*'Calculation '!G9</f>
        <v>47765553.02359013</v>
      </c>
      <c r="D5" s="35">
        <f>D2*'Calculation '!H9</f>
        <v>57249474.48030923</v>
      </c>
      <c r="E5" s="35">
        <f>E2*'Calculation '!I9</f>
        <v>68616442.62033157</v>
      </c>
    </row>
    <row r="6" spans="1:5" ht="12">
      <c r="A6" s="27" t="s">
        <v>5</v>
      </c>
      <c r="B6" s="27">
        <f>B4-B5</f>
        <v>81132824</v>
      </c>
      <c r="C6" s="35">
        <f>C4-C5</f>
        <v>115825223.4727213</v>
      </c>
      <c r="D6" s="35">
        <f>D4-D5</f>
        <v>138822493.52588534</v>
      </c>
      <c r="E6" s="35">
        <f>E4-E5</f>
        <v>166385905.6855889</v>
      </c>
    </row>
    <row r="7" spans="1:5" ht="12">
      <c r="A7" s="27" t="s">
        <v>6</v>
      </c>
      <c r="B7" s="27">
        <v>12305433</v>
      </c>
      <c r="C7" s="35">
        <f>B7*(1+'Calculation '!G12)</f>
        <v>13450902.007630989</v>
      </c>
      <c r="D7" s="35">
        <f>C7*(1+'Calculation '!H12)</f>
        <v>14702998.652618837</v>
      </c>
      <c r="E7" s="35">
        <f>D7*(1+'Calculation '!I12)</f>
        <v>16071648.522624636</v>
      </c>
    </row>
    <row r="8" spans="1:5" ht="12">
      <c r="A8" s="27" t="s">
        <v>7</v>
      </c>
      <c r="B8" s="27">
        <v>20626830</v>
      </c>
      <c r="C8" s="35">
        <f>'Proforma Balance sheet'!C3*'Calculation '!G16</f>
        <v>155060799.98905763</v>
      </c>
      <c r="D8" s="35">
        <f>'Proforma Balance sheet'!D3*'Calculation '!H16</f>
        <v>178319919.98741624</v>
      </c>
      <c r="E8" s="35">
        <f>'Proforma Balance sheet'!E3*'Calculation '!I16</f>
        <v>205067907.98552868</v>
      </c>
    </row>
    <row r="9" spans="1:5" ht="12">
      <c r="A9" s="27" t="s">
        <v>14</v>
      </c>
      <c r="B9" s="27">
        <v>28339696</v>
      </c>
      <c r="C9" s="35">
        <f>'Calculation '!G22*'Calculation '!G24</f>
        <v>44884954.771383025</v>
      </c>
      <c r="D9" s="35">
        <f>'Calculation '!H22*'Calculation '!H24</f>
        <v>60348000.20327512</v>
      </c>
      <c r="E9" s="35">
        <f>'Calculation '!I22*'Calculation '!I24</f>
        <v>69046883.94270334</v>
      </c>
    </row>
    <row r="10" spans="1:5" ht="12">
      <c r="A10" s="27" t="s">
        <v>8</v>
      </c>
      <c r="B10" s="27">
        <v>4082161</v>
      </c>
      <c r="C10" s="35">
        <f>C2*'Calculation '!G35</f>
        <v>5305702.920569184</v>
      </c>
      <c r="D10" s="35">
        <f>D2*'Calculation '!H35</f>
        <v>6359158.111311185</v>
      </c>
      <c r="E10" s="35">
        <f>E2*'Calculation '!I35</f>
        <v>7621778.393939297</v>
      </c>
    </row>
    <row r="11" spans="1:5" ht="12">
      <c r="A11" s="27" t="s">
        <v>9</v>
      </c>
      <c r="B11" s="27">
        <f>B6+B7+B8-B9-B10</f>
        <v>81643230</v>
      </c>
      <c r="C11" s="35">
        <f>C6+C7+C8-C9-C10</f>
        <v>234146267.77745774</v>
      </c>
      <c r="D11" s="35">
        <f>D6+D7+D8-D9-D10</f>
        <v>265138253.85133404</v>
      </c>
      <c r="E11" s="35">
        <f>E6+E7+E8-E9-E10</f>
        <v>310856799.8570996</v>
      </c>
    </row>
    <row r="12" spans="1:5" ht="12">
      <c r="A12" s="27" t="s">
        <v>10</v>
      </c>
      <c r="B12" s="27">
        <v>19893588</v>
      </c>
      <c r="C12" s="35">
        <f>C11*'Calculation '!G38</f>
        <v>66425255.31857701</v>
      </c>
      <c r="D12" s="35">
        <f>D11*'Calculation '!H38</f>
        <v>75217411.63747951</v>
      </c>
      <c r="E12" s="35">
        <f>E11*'Calculation '!I38</f>
        <v>88187364.6504118</v>
      </c>
    </row>
    <row r="13" spans="1:5" ht="12">
      <c r="A13" s="27" t="s">
        <v>11</v>
      </c>
      <c r="B13" s="27">
        <f>B11-B12</f>
        <v>61749642</v>
      </c>
      <c r="C13" s="35">
        <f>C11-C12</f>
        <v>167721012.45888072</v>
      </c>
      <c r="D13" s="35">
        <f>D11-D12</f>
        <v>189920842.21385452</v>
      </c>
      <c r="E13" s="35">
        <f>E11-E12</f>
        <v>222669435.2066878</v>
      </c>
    </row>
    <row r="14" spans="1:5" ht="12">
      <c r="A14" s="27" t="s">
        <v>12</v>
      </c>
      <c r="B14" s="27">
        <v>34615086</v>
      </c>
      <c r="C14" s="35">
        <f>C13*'Calculation '!G41</f>
        <v>80906412.7231285</v>
      </c>
      <c r="D14" s="35">
        <f>D13*'Calculation '!H41</f>
        <v>91615318.91327828</v>
      </c>
      <c r="E14" s="35">
        <f>E13*'Calculation '!I41</f>
        <v>107412809.88913025</v>
      </c>
    </row>
    <row r="15" spans="1:5" ht="12">
      <c r="A15" s="27" t="s">
        <v>13</v>
      </c>
      <c r="B15" s="27">
        <f>B13-B14</f>
        <v>27134556</v>
      </c>
      <c r="C15" s="35">
        <f>C13-C14</f>
        <v>86814599.73575222</v>
      </c>
      <c r="D15" s="35">
        <f>D13-D14</f>
        <v>98305523.30057624</v>
      </c>
      <c r="E15" s="35">
        <f>E13-E14</f>
        <v>115256625.31755756</v>
      </c>
    </row>
  </sheetData>
  <sheetProtection/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1">
      <selection activeCell="H17" sqref="H17"/>
    </sheetView>
  </sheetViews>
  <sheetFormatPr defaultColWidth="8.8515625" defaultRowHeight="12.75"/>
  <cols>
    <col min="1" max="1" width="29.00390625" style="0" customWidth="1"/>
    <col min="2" max="2" width="12.8515625" style="0" customWidth="1"/>
    <col min="3" max="3" width="13.421875" style="0" customWidth="1"/>
    <col min="4" max="4" width="12.7109375" style="0" customWidth="1"/>
    <col min="5" max="5" width="12.421875" style="0" customWidth="1"/>
  </cols>
  <sheetData>
    <row r="1" spans="1:5" ht="12">
      <c r="A1" s="1" t="s">
        <v>15</v>
      </c>
      <c r="B1" s="1">
        <v>2010</v>
      </c>
      <c r="C1" s="36">
        <v>2011</v>
      </c>
      <c r="D1" s="36">
        <v>2012</v>
      </c>
      <c r="E1" s="36">
        <v>2013</v>
      </c>
    </row>
    <row r="2" spans="1:5" ht="12">
      <c r="A2" t="s">
        <v>16</v>
      </c>
      <c r="B2" s="27">
        <v>102652877</v>
      </c>
      <c r="C2" s="35">
        <f>B2*(1+'Calculation '!G30)</f>
        <v>93421387.13617322</v>
      </c>
      <c r="D2" s="35">
        <f>C2*(1+'Calculation '!H30)</f>
        <v>85020077.65887313</v>
      </c>
      <c r="E2" s="35">
        <f>D2*(1+'Calculation '!I30)</f>
        <v>77374291.12013195</v>
      </c>
    </row>
    <row r="3" spans="1:5" ht="12">
      <c r="A3" t="s">
        <v>17</v>
      </c>
      <c r="B3" s="27">
        <v>820052329</v>
      </c>
      <c r="C3" s="35">
        <f>B3*(1+'Calculation '!G19)</f>
        <v>943060178.3499999</v>
      </c>
      <c r="D3" s="35">
        <f>C3*(1+'Calculation '!H19)</f>
        <v>1084519205.1024997</v>
      </c>
      <c r="E3" s="35">
        <f>D3*(1+'Calculation '!I19)</f>
        <v>1247197085.8678746</v>
      </c>
    </row>
    <row r="4" spans="1:5" ht="12">
      <c r="A4" s="27" t="s">
        <v>79</v>
      </c>
      <c r="B4" s="27">
        <v>23452958</v>
      </c>
      <c r="C4" s="35">
        <f>B4*(1+'Calculation '!G47)</f>
        <v>25178661.329443414</v>
      </c>
      <c r="D4" s="35">
        <f>C4*(1+'Calculation '!H47)</f>
        <v>27031344.46165849</v>
      </c>
      <c r="E4" s="35">
        <f>D4*(1+'Calculation '!I47)</f>
        <v>29020350.758297738</v>
      </c>
    </row>
    <row r="5" spans="1:5" ht="12">
      <c r="A5" s="1" t="s">
        <v>18</v>
      </c>
      <c r="B5" s="1">
        <f>B2+B3+B4</f>
        <v>946158164</v>
      </c>
      <c r="C5" s="36">
        <f>C2+C3+C4</f>
        <v>1061660226.8156166</v>
      </c>
      <c r="D5" s="36">
        <f>D2+D3+D4</f>
        <v>1196570627.2230313</v>
      </c>
      <c r="E5" s="36">
        <f>E2+E3+E4</f>
        <v>1353591727.7463043</v>
      </c>
    </row>
    <row r="6" spans="1:5" ht="12">
      <c r="A6" t="s">
        <v>19</v>
      </c>
      <c r="B6" s="27">
        <v>128611091</v>
      </c>
      <c r="C6" s="35">
        <f>'Proforma Income statement '!C2*'Calculation '!G50</f>
        <v>144845196.1002035</v>
      </c>
      <c r="D6" s="35">
        <f>'Proforma Income statement '!D2*'Calculation '!H50</f>
        <v>173604424.79622576</v>
      </c>
      <c r="E6" s="35">
        <f>'Proforma Income statement '!E2*'Calculation '!I50</f>
        <v>208073841.04046276</v>
      </c>
    </row>
    <row r="7" spans="1:5" ht="12">
      <c r="A7" t="s">
        <v>20</v>
      </c>
      <c r="B7" s="27">
        <v>236000082</v>
      </c>
      <c r="C7" s="35">
        <f>'Proforma Income statement '!C2*'Calculation '!G53</f>
        <v>401368854.0604196</v>
      </c>
      <c r="D7" s="35">
        <f>'Proforma Income statement '!D2*'Calculation '!H53</f>
        <v>481061235.83191127</v>
      </c>
      <c r="E7" s="35">
        <f>'Proforma Income statement '!E2*'Calculation '!I53</f>
        <v>576576658.3006692</v>
      </c>
    </row>
    <row r="8" spans="1:5" ht="12">
      <c r="A8" t="s">
        <v>21</v>
      </c>
      <c r="B8" s="27">
        <v>8971248</v>
      </c>
      <c r="C8" s="35">
        <f>'Proforma Income statement '!C2*'Calculation '!G56</f>
        <v>8232280.437448619</v>
      </c>
      <c r="D8" s="35">
        <f>'Proforma Income statement '!D2*'Calculation '!H56</f>
        <v>9866811.938421486</v>
      </c>
      <c r="E8" s="35">
        <f>'Proforma Income statement '!E2*'Calculation '!I56</f>
        <v>11825882.095234973</v>
      </c>
    </row>
    <row r="9" spans="1:5" ht="12">
      <c r="A9" t="s">
        <v>22</v>
      </c>
      <c r="B9" s="27">
        <v>48444611</v>
      </c>
      <c r="C9" s="35">
        <f>'Proforma Income statement '!C2*'Calculation '!G59</f>
        <v>64507798.15513551</v>
      </c>
      <c r="D9" s="35">
        <f>'Proforma Income statement '!D2*'Calculation '!H59</f>
        <v>77315917.2351564</v>
      </c>
      <c r="E9" s="35">
        <f>'Proforma Income statement '!E2*'Calculation '!I59</f>
        <v>92667107.37107468</v>
      </c>
    </row>
    <row r="10" spans="1:5" ht="12">
      <c r="A10" t="s">
        <v>23</v>
      </c>
      <c r="B10" s="27">
        <v>0</v>
      </c>
      <c r="C10" s="35">
        <f>B10</f>
        <v>0</v>
      </c>
      <c r="D10" s="35">
        <f>C10</f>
        <v>0</v>
      </c>
      <c r="E10" s="35">
        <f>D10</f>
        <v>0</v>
      </c>
    </row>
    <row r="11" spans="1:5" ht="12">
      <c r="A11" t="s">
        <v>24</v>
      </c>
      <c r="B11" s="27">
        <v>157370127</v>
      </c>
      <c r="C11" s="35">
        <f>C12-C6-C7-C8-C9-C10</f>
        <v>142226465.49846023</v>
      </c>
      <c r="D11" s="35">
        <f>D12-D6-D7-D8-D9-D10</f>
        <v>76036678.7839591</v>
      </c>
      <c r="E11" s="35">
        <f>E12-E6-E7-E8-E9-E10</f>
        <v>2080814.7180656344</v>
      </c>
    </row>
    <row r="12" spans="1:5" ht="12">
      <c r="A12" s="1" t="s">
        <v>25</v>
      </c>
      <c r="B12" s="1">
        <f>B6+B7+B8+B9+B10+B11</f>
        <v>579397159</v>
      </c>
      <c r="C12" s="36">
        <f>C13-C5</f>
        <v>761180594.2516675</v>
      </c>
      <c r="D12" s="36">
        <f>D13-D5</f>
        <v>817885068.585674</v>
      </c>
      <c r="E12" s="36">
        <f>E13-E5</f>
        <v>891224303.5255072</v>
      </c>
    </row>
    <row r="13" spans="1:5" ht="12">
      <c r="A13" s="1" t="s">
        <v>26</v>
      </c>
      <c r="B13" s="1">
        <f>B12+B5</f>
        <v>1525555323</v>
      </c>
      <c r="C13" s="36">
        <f>C31</f>
        <v>1822840821.067284</v>
      </c>
      <c r="D13" s="36">
        <f>D31</f>
        <v>2014455695.8087053</v>
      </c>
      <c r="E13" s="36">
        <f>E31</f>
        <v>2244816031.2718115</v>
      </c>
    </row>
    <row r="14" spans="2:5" ht="12">
      <c r="B14" s="27"/>
      <c r="C14" s="35"/>
      <c r="D14" s="35"/>
      <c r="E14" s="35"/>
    </row>
    <row r="15" spans="1:5" ht="12">
      <c r="A15" t="s">
        <v>27</v>
      </c>
      <c r="B15" s="27">
        <v>72081600</v>
      </c>
      <c r="C15" s="35">
        <f>B15</f>
        <v>72081600</v>
      </c>
      <c r="D15" s="35">
        <f>C15</f>
        <v>72081600</v>
      </c>
      <c r="E15" s="35">
        <f>D15</f>
        <v>72081600</v>
      </c>
    </row>
    <row r="16" spans="1:5" ht="12">
      <c r="A16" t="s">
        <v>28</v>
      </c>
      <c r="B16" s="27">
        <v>1048657244</v>
      </c>
      <c r="C16" s="35">
        <f>B16+'Proforma Income statement '!C15</f>
        <v>1135471843.735752</v>
      </c>
      <c r="D16" s="35">
        <f>C16+'Proforma Income statement '!D15</f>
        <v>1233777367.0363283</v>
      </c>
      <c r="E16" s="35">
        <f>D16+'Proforma Income statement '!E15</f>
        <v>1349033992.353886</v>
      </c>
    </row>
    <row r="17" spans="1:5" ht="12">
      <c r="A17" s="1" t="s">
        <v>29</v>
      </c>
      <c r="B17" s="1">
        <f>B15+B16</f>
        <v>1120738844</v>
      </c>
      <c r="C17" s="36">
        <f>C15+C16</f>
        <v>1207553443.735752</v>
      </c>
      <c r="D17" s="36">
        <f>D15+D16</f>
        <v>1305858967.0363283</v>
      </c>
      <c r="E17" s="36">
        <f>E15+E16</f>
        <v>1421115592.353886</v>
      </c>
    </row>
    <row r="18" spans="1:5" ht="12">
      <c r="A18" t="s">
        <v>30</v>
      </c>
      <c r="B18" s="27">
        <v>40033896</v>
      </c>
      <c r="C18" s="35">
        <f>B18-C23</f>
        <v>26689264</v>
      </c>
      <c r="D18" s="35">
        <f>C18-D23</f>
        <v>13344632</v>
      </c>
      <c r="E18" s="35">
        <f>D18-E23</f>
        <v>0</v>
      </c>
    </row>
    <row r="19" spans="1:5" ht="12">
      <c r="A19" t="s">
        <v>42</v>
      </c>
      <c r="B19" s="27">
        <v>25121780</v>
      </c>
      <c r="C19" s="35">
        <f>B19*(1+'Calculation '!G62)</f>
        <v>27605237.19728917</v>
      </c>
      <c r="D19" s="35">
        <f>C19*(1+'Calculation '!H62)</f>
        <v>30334200.869468547</v>
      </c>
      <c r="E19" s="35">
        <f>D19*(1+'Calculation '!I62)</f>
        <v>33332940.985546988</v>
      </c>
    </row>
    <row r="20" spans="1:5" ht="12">
      <c r="A20" t="s">
        <v>43</v>
      </c>
      <c r="B20" s="27">
        <v>15391607</v>
      </c>
      <c r="C20" s="35">
        <f>B20*(1+'Calculation '!G65)</f>
        <v>12544111.11098526</v>
      </c>
      <c r="D20" s="35">
        <f>C20*(1+'Calculation '!H65)</f>
        <v>10223410.951484395</v>
      </c>
      <c r="E20" s="35">
        <f>D20*(1+'Calculation '!I65)</f>
        <v>8332047.648350416</v>
      </c>
    </row>
    <row r="21" spans="1:5" ht="12">
      <c r="A21" s="1" t="s">
        <v>31</v>
      </c>
      <c r="B21" s="1">
        <f>SUM(B18:B20)</f>
        <v>80547283</v>
      </c>
      <c r="C21" s="36">
        <f>C18+C19+C20</f>
        <v>66838612.30827443</v>
      </c>
      <c r="D21" s="36">
        <f>D18+D19+D20</f>
        <v>53902243.820952944</v>
      </c>
      <c r="E21" s="36">
        <f>E18+E19+E20</f>
        <v>41664988.6338974</v>
      </c>
    </row>
    <row r="22" spans="1:5" ht="12">
      <c r="A22" t="s">
        <v>32</v>
      </c>
      <c r="B22" s="27">
        <v>147858218</v>
      </c>
      <c r="C22" s="35">
        <f>'Proforma Income statement '!C2*'Calculation '!G27</f>
        <v>303533784.5815016</v>
      </c>
      <c r="D22" s="35">
        <f>'Proforma Income statement '!D2*'Calculation '!H27</f>
        <v>363800868.08014643</v>
      </c>
      <c r="E22" s="35">
        <f>'Proforma Income statement '!E2*'Calculation '!I27</f>
        <v>436034070.46878713</v>
      </c>
    </row>
    <row r="23" spans="1:5" ht="12">
      <c r="A23" t="s">
        <v>33</v>
      </c>
      <c r="B23" s="27">
        <v>14509444</v>
      </c>
      <c r="C23" s="35">
        <f>40033896/3</f>
        <v>13344632</v>
      </c>
      <c r="D23" s="35">
        <f>40033896/3</f>
        <v>13344632</v>
      </c>
      <c r="E23" s="35">
        <f>40033896/3</f>
        <v>13344632</v>
      </c>
    </row>
    <row r="24" spans="1:5" ht="12">
      <c r="A24" t="s">
        <v>34</v>
      </c>
      <c r="B24" s="27">
        <v>39397112</v>
      </c>
      <c r="C24" s="35">
        <f>'Proforma Income statement '!C2*'Calculation '!G68</f>
        <v>50258299.28609803</v>
      </c>
      <c r="D24" s="35">
        <f>'Proforma Income statement '!D2*'Calculation '!H68</f>
        <v>60237159.21350708</v>
      </c>
      <c r="E24" s="35">
        <f>'Proforma Income statement '!E2*'Calculation '!I68</f>
        <v>72197336.59226875</v>
      </c>
    </row>
    <row r="25" spans="1:5" ht="12">
      <c r="A25" t="s">
        <v>35</v>
      </c>
      <c r="B25" s="27">
        <v>6737950</v>
      </c>
      <c r="C25" s="35">
        <f>'Proforma Income statement '!C2*'Calculation '!G71</f>
        <v>9947243.691055149</v>
      </c>
      <c r="D25" s="35">
        <f>'Proforma Income statement '!D2*'Calculation '!H71</f>
        <v>11922283.69174812</v>
      </c>
      <c r="E25" s="35">
        <f>'Proforma Income statement '!E2*'Calculation '!I71</f>
        <v>14289470.816356933</v>
      </c>
    </row>
    <row r="26" spans="1:5" ht="12">
      <c r="A26" t="s">
        <v>36</v>
      </c>
      <c r="B26" s="27">
        <v>24459658</v>
      </c>
      <c r="C26" s="35">
        <f>'Proforma Income statement '!C2*'Calculation '!G74</f>
        <v>39033483.276607916</v>
      </c>
      <c r="D26" s="35">
        <f>'Proforma Income statement '!D2*'Calculation '!H74</f>
        <v>46783639.32305169</v>
      </c>
      <c r="E26" s="35">
        <f>'Proforma Income statement '!E2*'Calculation '!I74</f>
        <v>56072600.356961824</v>
      </c>
    </row>
    <row r="27" spans="1:5" ht="12">
      <c r="A27" t="s">
        <v>37</v>
      </c>
      <c r="B27" s="27">
        <v>72595490</v>
      </c>
      <c r="C27" s="35">
        <f>'Proforma Income statement '!C2*'Calculation '!G77</f>
        <v>101343526.03666113</v>
      </c>
      <c r="D27" s="35">
        <f>'Proforma Income statement '!D2*'Calculation '!H77</f>
        <v>121465433.56705198</v>
      </c>
      <c r="E27" s="35">
        <f>'Proforma Income statement '!E2*'Calculation '!I77</f>
        <v>145582575.70685565</v>
      </c>
    </row>
    <row r="28" spans="1:5" ht="12">
      <c r="A28" t="s">
        <v>38</v>
      </c>
      <c r="B28" s="27">
        <v>18711324</v>
      </c>
      <c r="C28" s="35">
        <f>'Proforma Income statement '!C2*'Calculation '!G80</f>
        <v>30987796.151333805</v>
      </c>
      <c r="D28" s="35">
        <f>'Proforma Income statement '!D2*'Calculation '!H80</f>
        <v>37140469.07591881</v>
      </c>
      <c r="E28" s="35">
        <f>'Proforma Income statement '!E2*'Calculation '!I80</f>
        <v>44514764.3427978</v>
      </c>
    </row>
    <row r="29" spans="1:5" ht="12">
      <c r="A29" s="1" t="s">
        <v>39</v>
      </c>
      <c r="B29" s="1">
        <f>SUM(B22:B28)</f>
        <v>324269196</v>
      </c>
      <c r="C29" s="36">
        <f>C22+C23+C24+C25+C26+C27+C28</f>
        <v>548448765.0232576</v>
      </c>
      <c r="D29" s="36">
        <f>D22+D23+D24+D25+D26+D27+D28</f>
        <v>654694484.9514241</v>
      </c>
      <c r="E29" s="36">
        <f>E22+E23+E24+E25+E26+E27+E28</f>
        <v>782035450.284028</v>
      </c>
    </row>
    <row r="30" spans="1:5" ht="12">
      <c r="A30" s="1" t="s">
        <v>40</v>
      </c>
      <c r="B30" s="1">
        <f>B29+B21</f>
        <v>404816479</v>
      </c>
      <c r="C30" s="36">
        <f>C21+C29</f>
        <v>615287377.331532</v>
      </c>
      <c r="D30" s="36">
        <f>D21+D29</f>
        <v>708596728.772377</v>
      </c>
      <c r="E30" s="36">
        <f>E21+E29</f>
        <v>823700438.9179255</v>
      </c>
    </row>
    <row r="31" spans="1:5" ht="12">
      <c r="A31" s="1" t="s">
        <v>41</v>
      </c>
      <c r="B31" s="1">
        <f>B30+B17</f>
        <v>1525555323</v>
      </c>
      <c r="C31" s="36">
        <f>C17+C30</f>
        <v>1822840821.067284</v>
      </c>
      <c r="D31" s="36">
        <f>D17+D30</f>
        <v>2014455695.8087053</v>
      </c>
      <c r="E31" s="36">
        <f>E17+E30</f>
        <v>2244816031.2718115</v>
      </c>
    </row>
  </sheetData>
  <sheetProtection/>
  <printOptions/>
  <pageMargins left="0.7" right="0.7" top="0.75" bottom="0.75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F17" sqref="F17"/>
    </sheetView>
  </sheetViews>
  <sheetFormatPr defaultColWidth="8.8515625" defaultRowHeight="12.75"/>
  <cols>
    <col min="1" max="1" width="27.8515625" style="0" customWidth="1"/>
    <col min="2" max="2" width="16.421875" style="0" bestFit="1" customWidth="1"/>
  </cols>
  <sheetData>
    <row r="1" spans="1:2" ht="12">
      <c r="A1" s="27" t="s">
        <v>106</v>
      </c>
      <c r="B1">
        <v>0.08</v>
      </c>
    </row>
    <row r="2" spans="1:2" ht="12">
      <c r="A2" s="27" t="s">
        <v>98</v>
      </c>
      <c r="B2" s="37">
        <f>'Beta calculation'!B68</f>
        <v>0.36390675437948405</v>
      </c>
    </row>
    <row r="3" spans="1:2" ht="12">
      <c r="A3" s="27" t="s">
        <v>97</v>
      </c>
      <c r="B3">
        <f>'Beta calculation'!B66</f>
        <v>0.5831224802576056</v>
      </c>
    </row>
    <row r="4" spans="1:2" ht="12">
      <c r="A4" s="27" t="s">
        <v>107</v>
      </c>
      <c r="B4" s="37">
        <f>B1+(B2-B1)*B3</f>
        <v>0.24555241077565154</v>
      </c>
    </row>
    <row r="5" spans="1:2" ht="12">
      <c r="A5" s="27" t="s">
        <v>108</v>
      </c>
      <c r="B5">
        <f>'Calculation '!G24</f>
        <v>0.16442301726741937</v>
      </c>
    </row>
    <row r="6" spans="1:2" ht="12">
      <c r="A6" s="27" t="s">
        <v>109</v>
      </c>
      <c r="B6">
        <f>B5*(1-'Calculation '!G38)</f>
        <v>0.11777764040145243</v>
      </c>
    </row>
    <row r="8" spans="1:2" ht="12">
      <c r="A8" s="27" t="s">
        <v>110</v>
      </c>
      <c r="B8" s="37">
        <f>'Beta calculation'!B2*'Balance sheet '!F36</f>
        <v>1883852616</v>
      </c>
    </row>
    <row r="9" spans="1:2" ht="12">
      <c r="A9" s="27" t="s">
        <v>122</v>
      </c>
      <c r="B9">
        <f>'Balance sheet '!F18+'Balance sheet '!F23+'Balance sheet '!F22</f>
        <v>202401558</v>
      </c>
    </row>
    <row r="10" spans="1:2" ht="12">
      <c r="A10" s="27" t="s">
        <v>111</v>
      </c>
      <c r="B10" s="37">
        <f>B8/(B8+B9)</f>
        <v>0.9029832699570192</v>
      </c>
    </row>
    <row r="11" spans="1:2" ht="12">
      <c r="A11" s="27" t="s">
        <v>112</v>
      </c>
      <c r="B11" s="37">
        <f>1-B10</f>
        <v>0.09701673004298084</v>
      </c>
    </row>
    <row r="13" spans="1:2" ht="12">
      <c r="A13" s="27" t="s">
        <v>113</v>
      </c>
      <c r="B13" s="39">
        <f>B10*B4+B6*B11</f>
        <v>0.23315612037195402</v>
      </c>
    </row>
  </sheetData>
  <sheetProtection/>
  <printOptions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G18" sqref="G18"/>
    </sheetView>
  </sheetViews>
  <sheetFormatPr defaultColWidth="8.8515625" defaultRowHeight="12.75"/>
  <cols>
    <col min="1" max="1" width="25.00390625" style="0" customWidth="1"/>
    <col min="2" max="2" width="12.421875" style="0" customWidth="1"/>
    <col min="3" max="3" width="13.421875" style="0" customWidth="1"/>
    <col min="4" max="4" width="13.28125" style="0" customWidth="1"/>
    <col min="5" max="5" width="13.421875" style="0" customWidth="1"/>
  </cols>
  <sheetData>
    <row r="1" spans="1:5" ht="12">
      <c r="A1" s="1" t="s">
        <v>0</v>
      </c>
      <c r="B1" s="1">
        <v>2010</v>
      </c>
      <c r="C1" s="1">
        <v>2011</v>
      </c>
      <c r="D1" s="1">
        <v>2012</v>
      </c>
      <c r="E1" s="1">
        <v>2013</v>
      </c>
    </row>
    <row r="2" spans="1:5" ht="12">
      <c r="A2" t="s">
        <v>19</v>
      </c>
      <c r="B2">
        <v>128611091</v>
      </c>
      <c r="C2">
        <v>144845196.1002035</v>
      </c>
      <c r="D2">
        <v>173604424.79622576</v>
      </c>
      <c r="E2">
        <v>208073841.04046276</v>
      </c>
    </row>
    <row r="3" spans="1:5" ht="12">
      <c r="A3" t="s">
        <v>20</v>
      </c>
      <c r="B3">
        <v>236000082</v>
      </c>
      <c r="C3">
        <v>401368854.0604196</v>
      </c>
      <c r="D3">
        <v>481061235.83191127</v>
      </c>
      <c r="E3">
        <v>576576658.3006692</v>
      </c>
    </row>
    <row r="4" spans="1:5" ht="12">
      <c r="A4" t="s">
        <v>21</v>
      </c>
      <c r="B4">
        <v>8971248</v>
      </c>
      <c r="C4">
        <v>8232280.437448619</v>
      </c>
      <c r="D4">
        <v>9866811.938421486</v>
      </c>
      <c r="E4">
        <v>11825882.095234973</v>
      </c>
    </row>
    <row r="5" spans="1:5" ht="12">
      <c r="A5" s="1" t="s">
        <v>100</v>
      </c>
      <c r="B5" s="1">
        <f>B2+B3+B4</f>
        <v>373582421</v>
      </c>
      <c r="C5" s="1">
        <f>C2+C3+C4</f>
        <v>554446330.5980717</v>
      </c>
      <c r="D5" s="1">
        <f>D2+D3+D4</f>
        <v>664532472.5665585</v>
      </c>
      <c r="E5" s="1">
        <f>E2+E3+E4</f>
        <v>796476381.4363669</v>
      </c>
    </row>
    <row r="7" spans="1:5" ht="12">
      <c r="A7" t="s">
        <v>34</v>
      </c>
      <c r="B7">
        <v>39397112</v>
      </c>
      <c r="C7">
        <v>50258299.28609803</v>
      </c>
      <c r="D7">
        <v>60237159.21350708</v>
      </c>
      <c r="E7">
        <v>72197336.59226875</v>
      </c>
    </row>
    <row r="8" spans="1:5" ht="12">
      <c r="A8" t="s">
        <v>35</v>
      </c>
      <c r="B8">
        <v>6737950</v>
      </c>
      <c r="C8">
        <v>9947243.691055149</v>
      </c>
      <c r="D8">
        <v>11922283.69174812</v>
      </c>
      <c r="E8">
        <v>14289470.816356933</v>
      </c>
    </row>
    <row r="9" spans="1:5" ht="12">
      <c r="A9" t="s">
        <v>36</v>
      </c>
      <c r="B9">
        <v>24459658</v>
      </c>
      <c r="C9">
        <v>39033483.276607916</v>
      </c>
      <c r="D9">
        <v>46783639.32305169</v>
      </c>
      <c r="E9">
        <v>56072600.356961824</v>
      </c>
    </row>
    <row r="10" spans="1:5" ht="12">
      <c r="A10" s="1" t="s">
        <v>123</v>
      </c>
      <c r="B10" s="1">
        <f>B7+B8+B9</f>
        <v>70594720</v>
      </c>
      <c r="C10" s="1">
        <f>C7+C8+C9</f>
        <v>99239026.2537611</v>
      </c>
      <c r="D10" s="1">
        <f>D7+D8+D9</f>
        <v>118943082.22830689</v>
      </c>
      <c r="E10" s="1">
        <f>E7+E8+E9</f>
        <v>142559407.7655875</v>
      </c>
    </row>
    <row r="12" spans="1:5" ht="12">
      <c r="A12" s="27" t="s">
        <v>101</v>
      </c>
      <c r="B12">
        <f>B5-B10</f>
        <v>302987701</v>
      </c>
      <c r="C12">
        <f>C5-C10</f>
        <v>455207304.3443106</v>
      </c>
      <c r="D12">
        <f>D5-D10</f>
        <v>545589390.3382516</v>
      </c>
      <c r="E12">
        <f>E5-E10</f>
        <v>653916973.6707795</v>
      </c>
    </row>
    <row r="13" spans="1:5" ht="12">
      <c r="A13" s="27" t="s">
        <v>121</v>
      </c>
      <c r="C13">
        <f>C12-B12</f>
        <v>152219603.34431058</v>
      </c>
      <c r="D13">
        <f>D12-C12</f>
        <v>90382085.99394101</v>
      </c>
      <c r="E13">
        <f>E12-D12</f>
        <v>108327583.33252788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Diu</dc:creator>
  <cp:keywords/>
  <dc:description/>
  <cp:lastModifiedBy>Department of Finance</cp:lastModifiedBy>
  <dcterms:created xsi:type="dcterms:W3CDTF">2012-04-03T09:13:25Z</dcterms:created>
  <dcterms:modified xsi:type="dcterms:W3CDTF">2017-02-28T16:52:45Z</dcterms:modified>
  <cp:category/>
  <cp:version/>
  <cp:contentType/>
  <cp:contentStatus/>
</cp:coreProperties>
</file>