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0" yWindow="0" windowWidth="25600" windowHeight="16060"/>
  </bookViews>
  <sheets>
    <sheet name="Discount rate " sheetId="5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4" i="5" l="1"/>
  <c r="D82" i="5"/>
  <c r="E82" i="5"/>
  <c r="F82" i="5"/>
  <c r="C82" i="5"/>
  <c r="G2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B68" i="5"/>
  <c r="B69" i="5"/>
  <c r="B7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36" i="5"/>
  <c r="F37" i="5"/>
  <c r="F38" i="5"/>
  <c r="F39" i="5"/>
  <c r="F40" i="5"/>
  <c r="F41" i="5"/>
  <c r="F42" i="5"/>
  <c r="F43" i="5"/>
  <c r="F24" i="5"/>
  <c r="F25" i="5"/>
  <c r="F26" i="5"/>
  <c r="F27" i="5"/>
  <c r="F28" i="5"/>
  <c r="F29" i="5"/>
  <c r="F30" i="5"/>
  <c r="F31" i="5"/>
  <c r="F32" i="5"/>
  <c r="F33" i="5"/>
  <c r="F34" i="5"/>
  <c r="F35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" i="5"/>
  <c r="D80" i="5"/>
  <c r="E80" i="5"/>
  <c r="F80" i="5"/>
  <c r="C80" i="5"/>
  <c r="F83" i="5"/>
  <c r="B86" i="5"/>
  <c r="B88" i="5"/>
  <c r="B90" i="5"/>
  <c r="B91" i="5"/>
  <c r="B65" i="5"/>
  <c r="B64" i="5"/>
  <c r="B66" i="5"/>
  <c r="B67" i="5"/>
  <c r="B74" i="5"/>
</calcChain>
</file>

<file path=xl/sharedStrings.xml><?xml version="1.0" encoding="utf-8"?>
<sst xmlns="http://schemas.openxmlformats.org/spreadsheetml/2006/main" count="42" uniqueCount="41">
  <si>
    <t xml:space="preserve">Tax rate </t>
  </si>
  <si>
    <t xml:space="preserve">Time </t>
  </si>
  <si>
    <t>30/12/2010</t>
  </si>
  <si>
    <t>30/11/2010</t>
  </si>
  <si>
    <t>31/10/2010</t>
  </si>
  <si>
    <t>30/09/2010</t>
  </si>
  <si>
    <t>31/08/2010</t>
  </si>
  <si>
    <t>29/07/2010</t>
  </si>
  <si>
    <t>30/06/2010</t>
  </si>
  <si>
    <t>Monthly closing stock price</t>
  </si>
  <si>
    <t>Index</t>
  </si>
  <si>
    <t xml:space="preserve">Stock - return </t>
  </si>
  <si>
    <t xml:space="preserve">Index return </t>
  </si>
  <si>
    <t xml:space="preserve">Covariance </t>
  </si>
  <si>
    <t xml:space="preserve">Variance of market return </t>
  </si>
  <si>
    <t xml:space="preserve">Beta </t>
  </si>
  <si>
    <t xml:space="preserve">Market return </t>
  </si>
  <si>
    <t xml:space="preserve">Market return -yearly </t>
  </si>
  <si>
    <t xml:space="preserve">Risk-free rate </t>
  </si>
  <si>
    <t xml:space="preserve">Cost of equity </t>
  </si>
  <si>
    <t xml:space="preserve">Particulars </t>
  </si>
  <si>
    <t>Historical - Year 1</t>
  </si>
  <si>
    <t>Historical - Year 2</t>
  </si>
  <si>
    <t>Historical - Year 3</t>
  </si>
  <si>
    <t>Historical - Year 4</t>
  </si>
  <si>
    <t>Historical - Year 5</t>
  </si>
  <si>
    <t xml:space="preserve">Blumes adjustment </t>
  </si>
  <si>
    <t xml:space="preserve">Total loan </t>
  </si>
  <si>
    <t xml:space="preserve">Average loan </t>
  </si>
  <si>
    <t xml:space="preserve">Interest rate </t>
  </si>
  <si>
    <t xml:space="preserve">Average intererst rate </t>
  </si>
  <si>
    <t xml:space="preserve">Market value of equity </t>
  </si>
  <si>
    <t xml:space="preserve">Market price </t>
  </si>
  <si>
    <t xml:space="preserve">Number  of shares </t>
  </si>
  <si>
    <t xml:space="preserve">Book/market value of debt </t>
  </si>
  <si>
    <t xml:space="preserve">Weight - equity </t>
  </si>
  <si>
    <t xml:space="preserve">Weight -debt  </t>
  </si>
  <si>
    <t xml:space="preserve">Cost of capital </t>
  </si>
  <si>
    <t xml:space="preserve">Cash dividend </t>
  </si>
  <si>
    <t xml:space="preserve">Bonus information </t>
  </si>
  <si>
    <t xml:space="preserve">Interest expense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</si>
</sst>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6" formatCode="dd/mm/yyyy"/>
    <numFmt numFmtId="167" formatCode="dd/mm/\ 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9"/>
      <name val="Tahoma"/>
      <family val="2"/>
    </font>
    <font>
      <sz val="10"/>
      <name val="Tahoma"/>
      <family val="2"/>
    </font>
    <font>
      <sz val="10"/>
      <name val="Comic Sans MS"/>
      <family val="4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Times New Roman"/>
    </font>
    <font>
      <b/>
      <sz val="11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43" fontId="8" fillId="0" borderId="1" xfId="1" applyFont="1" applyBorder="1" applyAlignment="1">
      <alignment horizontal="right"/>
    </xf>
    <xf numFmtId="43" fontId="8" fillId="0" borderId="1" xfId="1" applyFont="1" applyFill="1" applyBorder="1" applyAlignment="1">
      <alignment horizontal="right"/>
    </xf>
    <xf numFmtId="166" fontId="7" fillId="0" borderId="1" xfId="0" applyNumberFormat="1" applyFont="1" applyFill="1" applyBorder="1" applyAlignment="1">
      <alignment horizontal="center"/>
    </xf>
    <xf numFmtId="166" fontId="8" fillId="0" borderId="1" xfId="0" applyNumberFormat="1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43" fontId="9" fillId="0" borderId="1" xfId="1" applyFont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43" fontId="3" fillId="0" borderId="1" xfId="1" applyFont="1" applyFill="1" applyBorder="1" applyAlignment="1">
      <alignment horizontal="right"/>
    </xf>
    <xf numFmtId="43" fontId="9" fillId="0" borderId="1" xfId="1" applyFont="1" applyFill="1" applyBorder="1" applyAlignment="1">
      <alignment horizontal="right"/>
    </xf>
    <xf numFmtId="43" fontId="8" fillId="0" borderId="1" xfId="0" applyNumberFormat="1" applyFont="1" applyFill="1" applyBorder="1" applyAlignment="1">
      <alignment horizontal="right"/>
    </xf>
    <xf numFmtId="43" fontId="8" fillId="2" borderId="1" xfId="1" applyFont="1" applyFill="1" applyBorder="1" applyAlignment="1">
      <alignment horizontal="right"/>
    </xf>
    <xf numFmtId="0" fontId="6" fillId="0" borderId="0" xfId="0" applyFont="1"/>
    <xf numFmtId="43" fontId="6" fillId="0" borderId="0" xfId="0" applyNumberFormat="1" applyFont="1"/>
    <xf numFmtId="0" fontId="4" fillId="0" borderId="0" xfId="0" applyFont="1"/>
    <xf numFmtId="43" fontId="4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0" fontId="0" fillId="0" borderId="0" xfId="2" applyNumberFormat="1" applyFont="1"/>
    <xf numFmtId="43" fontId="0" fillId="0" borderId="0" xfId="0" applyNumberFormat="1"/>
    <xf numFmtId="1" fontId="0" fillId="0" borderId="0" xfId="0" applyNumberFormat="1"/>
    <xf numFmtId="43" fontId="8" fillId="0" borderId="0" xfId="1" applyFont="1" applyFill="1" applyBorder="1" applyAlignment="1">
      <alignment horizontal="right"/>
    </xf>
    <xf numFmtId="43" fontId="8" fillId="0" borderId="0" xfId="1" applyFont="1" applyBorder="1" applyAlignment="1">
      <alignment horizontal="right"/>
    </xf>
    <xf numFmtId="0" fontId="8" fillId="0" borderId="0" xfId="1" applyNumberFormat="1" applyFont="1" applyFill="1" applyBorder="1" applyAlignment="1">
      <alignment horizontal="right"/>
    </xf>
    <xf numFmtId="0" fontId="9" fillId="0" borderId="0" xfId="1" applyNumberFormat="1" applyFont="1" applyBorder="1" applyAlignment="1">
      <alignment horizontal="right"/>
    </xf>
    <xf numFmtId="0" fontId="8" fillId="0" borderId="0" xfId="1" applyNumberFormat="1" applyFont="1" applyBorder="1" applyAlignment="1">
      <alignment horizontal="right"/>
    </xf>
    <xf numFmtId="164" fontId="0" fillId="0" borderId="0" xfId="2" applyNumberFormat="1" applyFont="1" applyAlignment="1">
      <alignment horizontal="right"/>
    </xf>
    <xf numFmtId="0" fontId="0" fillId="0" borderId="0" xfId="0" applyAlignment="1">
      <alignment horizontal="right"/>
    </xf>
    <xf numFmtId="0" fontId="12" fillId="0" borderId="0" xfId="0" applyFont="1"/>
    <xf numFmtId="43" fontId="13" fillId="0" borderId="0" xfId="0" applyNumberFormat="1" applyFont="1"/>
    <xf numFmtId="0" fontId="2" fillId="0" borderId="0" xfId="0" applyFont="1"/>
    <xf numFmtId="10" fontId="2" fillId="0" borderId="0" xfId="2" applyNumberFormat="1" applyFont="1"/>
  </cellXfs>
  <cellStyles count="57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topLeftCell="A58" workbookViewId="0">
      <selection activeCell="D98" sqref="D98"/>
    </sheetView>
  </sheetViews>
  <sheetFormatPr baseColWidth="10" defaultColWidth="8.83203125" defaultRowHeight="14" x14ac:dyDescent="0"/>
  <cols>
    <col min="1" max="1" width="24.6640625" customWidth="1"/>
    <col min="2" max="2" width="26" customWidth="1"/>
    <col min="3" max="5" width="17.6640625" customWidth="1"/>
    <col min="6" max="6" width="18" customWidth="1"/>
    <col min="7" max="7" width="14.6640625" customWidth="1"/>
    <col min="8" max="8" width="15" customWidth="1"/>
  </cols>
  <sheetData>
    <row r="1" spans="1:7">
      <c r="A1" s="21" t="s">
        <v>1</v>
      </c>
      <c r="B1" s="21" t="s">
        <v>9</v>
      </c>
      <c r="C1" s="21" t="s">
        <v>10</v>
      </c>
      <c r="D1" s="21" t="s">
        <v>38</v>
      </c>
      <c r="E1" s="21" t="s">
        <v>39</v>
      </c>
      <c r="F1" s="22" t="s">
        <v>11</v>
      </c>
      <c r="G1" s="22" t="s">
        <v>12</v>
      </c>
    </row>
    <row r="2" spans="1:7">
      <c r="A2" s="4" t="s">
        <v>2</v>
      </c>
      <c r="B2" s="8">
        <v>2613.5</v>
      </c>
      <c r="C2" s="3">
        <v>8290.4128500000006</v>
      </c>
      <c r="D2" s="28">
        <v>0</v>
      </c>
      <c r="E2" s="26">
        <v>1</v>
      </c>
      <c r="F2" s="31">
        <f>((D2+(B2-B3)*E2)/B3)</f>
        <v>-4.7384727537816661E-2</v>
      </c>
      <c r="G2" s="31">
        <f>(C2-C3)/C3</f>
        <v>-3.6272101440671341E-2</v>
      </c>
    </row>
    <row r="3" spans="1:7">
      <c r="A3" s="4" t="s">
        <v>3</v>
      </c>
      <c r="B3" s="9">
        <v>2743.5</v>
      </c>
      <c r="C3" s="3">
        <v>8602.4414799999995</v>
      </c>
      <c r="D3" s="28">
        <v>0</v>
      </c>
      <c r="E3" s="26">
        <v>1</v>
      </c>
      <c r="F3" s="31">
        <f t="shared" ref="F3:F60" si="0">((D3+(B3-B4)*E3)/B4)</f>
        <v>-8.1944823818628793E-4</v>
      </c>
      <c r="G3" s="31">
        <f t="shared" ref="G3:G60" si="1">(C3-C4)/C4</f>
        <v>8.1099725471817971E-2</v>
      </c>
    </row>
    <row r="4" spans="1:7">
      <c r="A4" s="4" t="s">
        <v>4</v>
      </c>
      <c r="B4" s="8">
        <v>2745.75</v>
      </c>
      <c r="C4" s="3">
        <v>7957.1211400000002</v>
      </c>
      <c r="D4" s="28">
        <v>0</v>
      </c>
      <c r="E4" s="26">
        <v>1</v>
      </c>
      <c r="F4" s="31">
        <f t="shared" si="0"/>
        <v>-1.5242535640634807E-2</v>
      </c>
      <c r="G4" s="31">
        <f t="shared" si="1"/>
        <v>0.12113474918693966</v>
      </c>
    </row>
    <row r="5" spans="1:7">
      <c r="A5" s="4" t="s">
        <v>5</v>
      </c>
      <c r="B5" s="8">
        <v>2788.25</v>
      </c>
      <c r="C5" s="3">
        <v>7097.3815999999997</v>
      </c>
      <c r="D5" s="28">
        <v>0</v>
      </c>
      <c r="E5" s="26">
        <v>1</v>
      </c>
      <c r="F5" s="31">
        <f t="shared" si="0"/>
        <v>-4.1920797182372647E-2</v>
      </c>
      <c r="G5" s="31">
        <f t="shared" si="1"/>
        <v>6.5997038435847324E-2</v>
      </c>
    </row>
    <row r="6" spans="1:7">
      <c r="A6" s="4" t="s">
        <v>6</v>
      </c>
      <c r="B6" s="8">
        <v>2910.25</v>
      </c>
      <c r="C6" s="3">
        <v>6657.9749700000002</v>
      </c>
      <c r="D6" s="28">
        <v>0</v>
      </c>
      <c r="E6" s="26">
        <v>1</v>
      </c>
      <c r="F6" s="31">
        <f t="shared" si="0"/>
        <v>0.30416760026887746</v>
      </c>
      <c r="G6" s="31">
        <f t="shared" si="1"/>
        <v>4.9697131047291752E-2</v>
      </c>
    </row>
    <row r="7" spans="1:7">
      <c r="A7" s="4" t="s">
        <v>7</v>
      </c>
      <c r="B7" s="8">
        <v>2231.5</v>
      </c>
      <c r="C7" s="3">
        <v>6342.7580900000003</v>
      </c>
      <c r="D7" s="28">
        <v>0</v>
      </c>
      <c r="E7" s="26">
        <v>1</v>
      </c>
      <c r="F7" s="31">
        <f t="shared" si="0"/>
        <v>2.976465159206276E-2</v>
      </c>
      <c r="G7" s="31">
        <f t="shared" si="1"/>
        <v>3.0726459746133868E-2</v>
      </c>
    </row>
    <row r="8" spans="1:7">
      <c r="A8" s="5" t="s">
        <v>8</v>
      </c>
      <c r="B8" s="10">
        <v>2167</v>
      </c>
      <c r="C8" s="3">
        <v>6153.6773700000003</v>
      </c>
      <c r="D8" s="28">
        <v>0</v>
      </c>
      <c r="E8" s="26">
        <v>1</v>
      </c>
      <c r="F8" s="31">
        <f t="shared" si="0"/>
        <v>8.0528546497132883E-2</v>
      </c>
      <c r="G8" s="31">
        <f t="shared" si="1"/>
        <v>7.5089861775553381E-3</v>
      </c>
    </row>
    <row r="9" spans="1:7">
      <c r="A9" s="6">
        <v>40329</v>
      </c>
      <c r="B9" s="10">
        <v>2005.5</v>
      </c>
      <c r="C9" s="2">
        <v>6107.8138799999997</v>
      </c>
      <c r="D9" s="28">
        <v>0</v>
      </c>
      <c r="E9" s="26">
        <v>1</v>
      </c>
      <c r="F9" s="31">
        <f t="shared" si="0"/>
        <v>2.7934392619169655E-2</v>
      </c>
      <c r="G9" s="31">
        <f t="shared" si="1"/>
        <v>8.0096639127383101E-2</v>
      </c>
    </row>
    <row r="10" spans="1:7">
      <c r="A10" s="6">
        <v>40297</v>
      </c>
      <c r="B10" s="8">
        <v>1951</v>
      </c>
      <c r="C10" s="2">
        <v>5654.8772200000003</v>
      </c>
      <c r="D10" s="28">
        <v>0</v>
      </c>
      <c r="E10" s="26">
        <v>1</v>
      </c>
      <c r="F10" s="31">
        <f t="shared" si="0"/>
        <v>-2.9232491603433264E-2</v>
      </c>
      <c r="G10" s="31">
        <f t="shared" si="1"/>
        <v>1.2995090648709821E-2</v>
      </c>
    </row>
    <row r="11" spans="1:7">
      <c r="A11" s="6">
        <v>40268</v>
      </c>
      <c r="B11" s="3">
        <v>2009.75</v>
      </c>
      <c r="C11" s="2">
        <v>5582.33428</v>
      </c>
      <c r="D11" s="27">
        <v>30</v>
      </c>
      <c r="E11" s="26">
        <v>1</v>
      </c>
      <c r="F11" s="31">
        <f t="shared" si="0"/>
        <v>-7.300158170093685E-3</v>
      </c>
      <c r="G11" s="31">
        <f t="shared" si="1"/>
        <v>3.9156552447449514E-3</v>
      </c>
    </row>
    <row r="12" spans="1:7" ht="15">
      <c r="A12" s="6">
        <v>40237</v>
      </c>
      <c r="B12" s="3">
        <v>2054.75</v>
      </c>
      <c r="C12" s="11">
        <v>5560.5610399999996</v>
      </c>
      <c r="D12" s="29">
        <v>0</v>
      </c>
      <c r="E12" s="26">
        <v>1</v>
      </c>
      <c r="F12" s="31">
        <f t="shared" si="0"/>
        <v>-0.11251484720872476</v>
      </c>
      <c r="G12" s="31">
        <f t="shared" si="1"/>
        <v>3.6044454499851976E-2</v>
      </c>
    </row>
    <row r="13" spans="1:7" ht="15">
      <c r="A13" s="6">
        <v>40208</v>
      </c>
      <c r="B13" s="3">
        <v>2315.25</v>
      </c>
      <c r="C13" s="2">
        <v>5367.1066099999998</v>
      </c>
      <c r="D13" s="29">
        <v>0</v>
      </c>
      <c r="E13" s="26">
        <v>1</v>
      </c>
      <c r="F13" s="31">
        <f t="shared" si="0"/>
        <v>0.25199405164255778</v>
      </c>
      <c r="G13" s="31">
        <f t="shared" si="1"/>
        <v>0.18334671522617671</v>
      </c>
    </row>
    <row r="14" spans="1:7" ht="15">
      <c r="A14" s="6">
        <v>40177</v>
      </c>
      <c r="B14" s="12">
        <v>1849.25</v>
      </c>
      <c r="C14" s="2">
        <v>4535.5317599999998</v>
      </c>
      <c r="D14" s="29">
        <v>0</v>
      </c>
      <c r="E14" s="26">
        <v>1</v>
      </c>
      <c r="F14" s="31">
        <f t="shared" si="0"/>
        <v>6.8467427415860177E-2</v>
      </c>
      <c r="G14" s="31">
        <f t="shared" si="1"/>
        <v>3.5285444584796141E-2</v>
      </c>
    </row>
    <row r="15" spans="1:7" ht="15">
      <c r="A15" s="6">
        <v>40143</v>
      </c>
      <c r="B15" s="12">
        <v>1730.75</v>
      </c>
      <c r="C15" s="2">
        <v>4380.9480599999997</v>
      </c>
      <c r="D15" s="29">
        <v>0</v>
      </c>
      <c r="E15" s="26">
        <v>1</v>
      </c>
      <c r="F15" s="31">
        <f t="shared" si="0"/>
        <v>2.8371954842543078E-2</v>
      </c>
      <c r="G15" s="31">
        <f t="shared" si="1"/>
        <v>0.30220184313771203</v>
      </c>
    </row>
    <row r="16" spans="1:7" ht="15">
      <c r="A16" s="6">
        <v>40115</v>
      </c>
      <c r="B16" s="3">
        <v>1683</v>
      </c>
      <c r="C16" s="2">
        <v>3364.2619100000002</v>
      </c>
      <c r="D16" s="29">
        <v>0</v>
      </c>
      <c r="E16" s="26">
        <v>1</v>
      </c>
      <c r="F16" s="31">
        <f t="shared" si="0"/>
        <v>0.14880546075085324</v>
      </c>
      <c r="G16" s="31">
        <f t="shared" si="1"/>
        <v>9.0916420799117548E-2</v>
      </c>
    </row>
    <row r="17" spans="1:7" ht="15">
      <c r="A17" s="6">
        <v>40086</v>
      </c>
      <c r="B17" s="3">
        <v>1465</v>
      </c>
      <c r="C17" s="2">
        <v>3083.8860300000001</v>
      </c>
      <c r="D17" s="29">
        <v>0</v>
      </c>
      <c r="E17" s="26">
        <v>1</v>
      </c>
      <c r="F17" s="31">
        <f t="shared" si="0"/>
        <v>9.7378277153558054E-2</v>
      </c>
      <c r="G17" s="31">
        <f t="shared" si="1"/>
        <v>4.8483074511863886E-2</v>
      </c>
    </row>
    <row r="18" spans="1:7" ht="15">
      <c r="A18" s="6">
        <v>40056</v>
      </c>
      <c r="B18" s="13">
        <v>1335</v>
      </c>
      <c r="C18" s="2">
        <v>2941.2835599999999</v>
      </c>
      <c r="D18" s="29">
        <v>0</v>
      </c>
      <c r="E18" s="26">
        <v>1</v>
      </c>
      <c r="F18" s="31">
        <f t="shared" si="0"/>
        <v>9.0702947845804991E-3</v>
      </c>
      <c r="G18" s="31">
        <f t="shared" si="1"/>
        <v>9.1780821490097305E-3</v>
      </c>
    </row>
    <row r="19" spans="1:7" ht="15">
      <c r="A19" s="6">
        <v>40024</v>
      </c>
      <c r="B19" s="14">
        <v>1323</v>
      </c>
      <c r="C19" s="2">
        <v>2914.5337300000001</v>
      </c>
      <c r="D19" s="29">
        <v>0</v>
      </c>
      <c r="E19" s="27">
        <v>1.5</v>
      </c>
      <c r="F19" s="31">
        <f t="shared" si="0"/>
        <v>4.8878048780487807E-2</v>
      </c>
      <c r="G19" s="31">
        <f t="shared" si="1"/>
        <v>-3.1801219653245026E-2</v>
      </c>
    </row>
    <row r="20" spans="1:7" ht="15">
      <c r="A20" s="6">
        <v>39994</v>
      </c>
      <c r="B20" s="3">
        <v>1281.25</v>
      </c>
      <c r="C20" s="2">
        <v>3010.26379</v>
      </c>
      <c r="D20" s="29">
        <v>0</v>
      </c>
      <c r="E20" s="27">
        <v>1</v>
      </c>
      <c r="F20" s="31">
        <f t="shared" si="0"/>
        <v>0.16028978944985284</v>
      </c>
      <c r="G20" s="31">
        <f t="shared" si="1"/>
        <v>0.17031600257325663</v>
      </c>
    </row>
    <row r="21" spans="1:7" ht="15">
      <c r="A21" s="6">
        <v>39964</v>
      </c>
      <c r="B21" s="12">
        <v>1104.25</v>
      </c>
      <c r="C21" s="2">
        <v>2572.1803199999999</v>
      </c>
      <c r="D21" s="29">
        <v>0</v>
      </c>
      <c r="E21" s="27">
        <v>1</v>
      </c>
      <c r="F21" s="31">
        <f t="shared" si="0"/>
        <v>-6.9694244604316547E-3</v>
      </c>
      <c r="G21" s="31">
        <f t="shared" si="1"/>
        <v>6.9782852839617758E-3</v>
      </c>
    </row>
    <row r="22" spans="1:7" ht="15">
      <c r="A22" s="6">
        <v>39933</v>
      </c>
      <c r="B22" s="12">
        <v>1112</v>
      </c>
      <c r="C22" s="2">
        <v>2554.3553000000002</v>
      </c>
      <c r="D22" s="29">
        <v>0</v>
      </c>
      <c r="E22" s="27">
        <v>1</v>
      </c>
      <c r="F22" s="31">
        <f t="shared" si="0"/>
        <v>-5.4421768707482991E-2</v>
      </c>
      <c r="G22" s="31">
        <f t="shared" si="1"/>
        <v>4.3905379502761105E-2</v>
      </c>
    </row>
    <row r="23" spans="1:7">
      <c r="A23" s="6">
        <v>39903</v>
      </c>
      <c r="B23" s="12">
        <v>1176</v>
      </c>
      <c r="C23" s="2">
        <v>2446.9222500000001</v>
      </c>
      <c r="D23" s="27">
        <v>45</v>
      </c>
      <c r="E23" s="27">
        <v>1</v>
      </c>
      <c r="F23" s="31">
        <f t="shared" si="0"/>
        <v>0.13554987212276215</v>
      </c>
      <c r="G23" s="31">
        <f t="shared" si="1"/>
        <v>-4.8247208306981787E-2</v>
      </c>
    </row>
    <row r="24" spans="1:7">
      <c r="A24" s="6">
        <v>39870</v>
      </c>
      <c r="B24" s="12">
        <v>1075.25</v>
      </c>
      <c r="C24" s="2">
        <v>2570.9640899999999</v>
      </c>
      <c r="D24" s="30">
        <v>0</v>
      </c>
      <c r="E24" s="27">
        <v>1</v>
      </c>
      <c r="F24" s="31">
        <f>((D24+(B24-B25)*E24)/B25)</f>
        <v>7.9026593075765178E-2</v>
      </c>
      <c r="G24" s="31">
        <f t="shared" si="1"/>
        <v>-2.9639679346350815E-2</v>
      </c>
    </row>
    <row r="25" spans="1:7" ht="15">
      <c r="A25" s="6">
        <v>39842</v>
      </c>
      <c r="B25" s="12">
        <v>996.5</v>
      </c>
      <c r="C25" s="11">
        <v>2649.4942500000002</v>
      </c>
      <c r="D25" s="30">
        <v>0</v>
      </c>
      <c r="E25" s="27">
        <v>1</v>
      </c>
      <c r="F25" s="31">
        <f t="shared" si="0"/>
        <v>-9.1406428082972419E-2</v>
      </c>
      <c r="G25" s="31">
        <f t="shared" si="1"/>
        <v>-5.2174601300736208E-2</v>
      </c>
    </row>
    <row r="26" spans="1:7" ht="15">
      <c r="A26" s="5">
        <v>39812</v>
      </c>
      <c r="B26" s="12">
        <v>1096.75</v>
      </c>
      <c r="C26" s="11">
        <v>2795.34</v>
      </c>
      <c r="D26" s="30">
        <v>0</v>
      </c>
      <c r="E26" s="27">
        <v>1</v>
      </c>
      <c r="F26" s="31">
        <f t="shared" si="0"/>
        <v>0.19050203527815468</v>
      </c>
      <c r="G26" s="31">
        <f t="shared" si="1"/>
        <v>0.1322123661071106</v>
      </c>
    </row>
    <row r="27" spans="1:7" ht="15">
      <c r="A27" s="5">
        <v>39782</v>
      </c>
      <c r="B27" s="12">
        <v>921.25</v>
      </c>
      <c r="C27" s="11">
        <v>2468.9184500000001</v>
      </c>
      <c r="D27" s="30">
        <v>0</v>
      </c>
      <c r="E27" s="27">
        <v>1</v>
      </c>
      <c r="F27" s="31">
        <f t="shared" si="0"/>
        <v>-0.14002333722287047</v>
      </c>
      <c r="G27" s="31">
        <f t="shared" si="1"/>
        <v>-0.10175344210882392</v>
      </c>
    </row>
    <row r="28" spans="1:7" ht="15">
      <c r="A28" s="5">
        <v>39751</v>
      </c>
      <c r="B28" s="15">
        <v>1071.25</v>
      </c>
      <c r="C28" s="11">
        <v>2748.59773</v>
      </c>
      <c r="D28" s="30">
        <v>0</v>
      </c>
      <c r="E28" s="27">
        <v>1</v>
      </c>
      <c r="F28" s="31">
        <f t="shared" si="0"/>
        <v>0.13962765957446807</v>
      </c>
      <c r="G28" s="31">
        <f t="shared" si="1"/>
        <v>-7.3553689160220384E-2</v>
      </c>
    </row>
    <row r="29" spans="1:7" ht="15">
      <c r="A29" s="5">
        <v>39716</v>
      </c>
      <c r="B29" s="7">
        <v>940</v>
      </c>
      <c r="C29" s="11">
        <v>2966.8181500000001</v>
      </c>
      <c r="D29" s="30">
        <v>0</v>
      </c>
      <c r="E29" s="27">
        <v>1</v>
      </c>
      <c r="F29" s="31">
        <f t="shared" si="0"/>
        <v>4.2735042735042739E-3</v>
      </c>
      <c r="G29" s="31">
        <f t="shared" si="1"/>
        <v>6.2918511751218209E-2</v>
      </c>
    </row>
    <row r="30" spans="1:7">
      <c r="A30" s="5">
        <v>39691</v>
      </c>
      <c r="B30" s="12">
        <v>936</v>
      </c>
      <c r="C30" s="2">
        <v>2791.2</v>
      </c>
      <c r="D30" s="30">
        <v>0</v>
      </c>
      <c r="E30" s="27">
        <v>1</v>
      </c>
      <c r="F30" s="31">
        <f t="shared" si="0"/>
        <v>-4.684317718940937E-2</v>
      </c>
      <c r="G30" s="31">
        <f t="shared" si="1"/>
        <v>1.0919758787417697E-2</v>
      </c>
    </row>
    <row r="31" spans="1:7" ht="15">
      <c r="A31" s="5">
        <v>39659</v>
      </c>
      <c r="B31" s="12">
        <v>982</v>
      </c>
      <c r="C31" s="11">
        <v>2761.05</v>
      </c>
      <c r="D31" s="30">
        <v>0</v>
      </c>
      <c r="E31" s="27">
        <v>1</v>
      </c>
      <c r="F31" s="31">
        <f t="shared" si="0"/>
        <v>-9.1371732593106644E-2</v>
      </c>
      <c r="G31" s="31">
        <f t="shared" si="1"/>
        <v>-7.980029928445008E-2</v>
      </c>
    </row>
    <row r="32" spans="1:7">
      <c r="A32" s="5">
        <v>39629</v>
      </c>
      <c r="B32" s="7">
        <v>1080.75</v>
      </c>
      <c r="C32" s="2">
        <v>3000.49</v>
      </c>
      <c r="D32" s="30">
        <v>0</v>
      </c>
      <c r="E32" s="27">
        <v>1</v>
      </c>
      <c r="F32" s="31">
        <f t="shared" si="0"/>
        <v>-7.8448092091238542E-2</v>
      </c>
      <c r="G32" s="31">
        <f t="shared" si="1"/>
        <v>-5.2872641643439536E-2</v>
      </c>
    </row>
    <row r="33" spans="1:7">
      <c r="A33" s="5">
        <v>39597</v>
      </c>
      <c r="B33" s="7">
        <v>1172.75</v>
      </c>
      <c r="C33" s="2">
        <v>3167.99</v>
      </c>
      <c r="D33" s="30">
        <v>0</v>
      </c>
      <c r="E33" s="27">
        <v>1</v>
      </c>
      <c r="F33" s="31">
        <f t="shared" si="0"/>
        <v>0.19515923566878982</v>
      </c>
      <c r="G33" s="31">
        <f t="shared" si="1"/>
        <v>3.0961485266120987E-2</v>
      </c>
    </row>
    <row r="34" spans="1:7">
      <c r="A34" s="5">
        <v>39568</v>
      </c>
      <c r="B34" s="7">
        <v>981.25</v>
      </c>
      <c r="C34" s="2">
        <v>3072.85</v>
      </c>
      <c r="D34" s="30">
        <v>0</v>
      </c>
      <c r="E34" s="27">
        <v>1</v>
      </c>
      <c r="F34" s="31">
        <f t="shared" si="0"/>
        <v>1.2119649303764827E-2</v>
      </c>
      <c r="G34" s="31">
        <f t="shared" si="1"/>
        <v>1.8684304832538714E-2</v>
      </c>
    </row>
    <row r="35" spans="1:7">
      <c r="A35" s="5">
        <v>39538</v>
      </c>
      <c r="B35" s="7">
        <v>969.5</v>
      </c>
      <c r="C35" s="3">
        <v>3016.489</v>
      </c>
      <c r="D35" s="30">
        <v>0</v>
      </c>
      <c r="E35" s="27">
        <v>1</v>
      </c>
      <c r="F35" s="31">
        <f t="shared" si="0"/>
        <v>0.24454428754813864</v>
      </c>
      <c r="G35" s="31">
        <f t="shared" si="1"/>
        <v>2.9033765666682559E-2</v>
      </c>
    </row>
    <row r="36" spans="1:7">
      <c r="A36" s="4">
        <v>39506</v>
      </c>
      <c r="B36" s="7">
        <v>779</v>
      </c>
      <c r="C36" s="2">
        <v>2931.38</v>
      </c>
      <c r="D36" s="30">
        <v>0</v>
      </c>
      <c r="E36" s="27">
        <v>2</v>
      </c>
      <c r="F36" s="31">
        <f>((D36+(B36-B37)*E36)/B37)</f>
        <v>0.135709389993146</v>
      </c>
      <c r="G36" s="31">
        <f t="shared" si="1"/>
        <v>8.329073743982951E-3</v>
      </c>
    </row>
    <row r="37" spans="1:7">
      <c r="A37" s="4">
        <v>39478</v>
      </c>
      <c r="B37" s="12">
        <v>729.5</v>
      </c>
      <c r="C37" s="2">
        <v>2907.1660000000002</v>
      </c>
      <c r="D37" s="30">
        <v>0</v>
      </c>
      <c r="E37" s="27">
        <v>1</v>
      </c>
      <c r="F37" s="31">
        <f t="shared" si="0"/>
        <v>-2.9920212765957448E-2</v>
      </c>
      <c r="G37" s="31">
        <f t="shared" si="1"/>
        <v>-3.6472105024177921E-2</v>
      </c>
    </row>
    <row r="38" spans="1:7">
      <c r="A38" s="4">
        <v>39446</v>
      </c>
      <c r="B38" s="12">
        <v>752</v>
      </c>
      <c r="C38" s="2">
        <v>3017.21</v>
      </c>
      <c r="D38" s="27">
        <v>40</v>
      </c>
      <c r="E38" s="27">
        <v>1</v>
      </c>
      <c r="F38" s="31">
        <f t="shared" si="0"/>
        <v>2.2595222724338282E-2</v>
      </c>
      <c r="G38" s="31">
        <f t="shared" si="1"/>
        <v>1.5516086580436237E-2</v>
      </c>
    </row>
    <row r="39" spans="1:7">
      <c r="A39" s="4">
        <v>39415</v>
      </c>
      <c r="B39" s="12">
        <v>774.5</v>
      </c>
      <c r="C39" s="2">
        <v>2971.11</v>
      </c>
      <c r="D39" s="30">
        <v>0</v>
      </c>
      <c r="E39" s="27">
        <v>1</v>
      </c>
      <c r="F39" s="31">
        <f t="shared" si="0"/>
        <v>-5.9502125075895571E-2</v>
      </c>
      <c r="G39" s="31">
        <f t="shared" si="1"/>
        <v>4.2198533048502067E-2</v>
      </c>
    </row>
    <row r="40" spans="1:7">
      <c r="A40" s="4">
        <v>39386</v>
      </c>
      <c r="B40" s="12">
        <v>823.5</v>
      </c>
      <c r="C40" s="2">
        <v>2850.81</v>
      </c>
      <c r="D40" s="30">
        <v>0</v>
      </c>
      <c r="E40" s="27">
        <v>1</v>
      </c>
      <c r="F40" s="31">
        <f t="shared" si="0"/>
        <v>-5.7349833987322667E-3</v>
      </c>
      <c r="G40" s="31">
        <f t="shared" si="1"/>
        <v>0.11862710860156414</v>
      </c>
    </row>
    <row r="41" spans="1:7">
      <c r="A41" s="4">
        <v>39355</v>
      </c>
      <c r="B41" s="12">
        <v>828.25</v>
      </c>
      <c r="C41" s="3">
        <v>2548.4899999999998</v>
      </c>
      <c r="D41" s="30">
        <v>0</v>
      </c>
      <c r="E41" s="27">
        <v>1</v>
      </c>
      <c r="F41" s="31">
        <f t="shared" si="0"/>
        <v>0.20472727272727273</v>
      </c>
      <c r="G41" s="31">
        <f t="shared" si="1"/>
        <v>3.8047639995437969E-2</v>
      </c>
    </row>
    <row r="42" spans="1:7">
      <c r="A42" s="4">
        <v>39323</v>
      </c>
      <c r="B42" s="12">
        <v>687.5</v>
      </c>
      <c r="C42" s="2">
        <v>2455.08</v>
      </c>
      <c r="D42" s="30">
        <v>0</v>
      </c>
      <c r="E42" s="27">
        <v>1</v>
      </c>
      <c r="F42" s="31">
        <f t="shared" si="0"/>
        <v>1.177336276674025E-2</v>
      </c>
      <c r="G42" s="31">
        <f t="shared" si="1"/>
        <v>2.9737687590702083E-2</v>
      </c>
    </row>
    <row r="43" spans="1:7">
      <c r="A43" s="4">
        <v>39294</v>
      </c>
      <c r="B43" s="12">
        <v>679.5</v>
      </c>
      <c r="C43" s="16">
        <v>2384.1799999999998</v>
      </c>
      <c r="D43" s="30">
        <v>0</v>
      </c>
      <c r="E43" s="27">
        <v>1</v>
      </c>
      <c r="F43" s="31">
        <f t="shared" si="0"/>
        <v>0.10218978102189781</v>
      </c>
      <c r="G43" s="31">
        <f t="shared" si="1"/>
        <v>0.10927176967599038</v>
      </c>
    </row>
    <row r="44" spans="1:7">
      <c r="A44" s="5">
        <v>39261</v>
      </c>
      <c r="B44" s="12">
        <v>616.5</v>
      </c>
      <c r="C44" s="2">
        <v>2149.3200000000002</v>
      </c>
      <c r="D44" s="30">
        <v>0</v>
      </c>
      <c r="E44" s="27">
        <v>1</v>
      </c>
      <c r="F44" s="31">
        <f>((D44+(B44-B45)*E44)/B45)</f>
        <v>-2.0651310563939634E-2</v>
      </c>
      <c r="G44" s="31">
        <f t="shared" si="1"/>
        <v>7.2739795765579734E-2</v>
      </c>
    </row>
    <row r="45" spans="1:7">
      <c r="A45" s="5">
        <v>39233</v>
      </c>
      <c r="B45" s="12">
        <v>629.5</v>
      </c>
      <c r="C45" s="2">
        <v>2003.58</v>
      </c>
      <c r="D45" s="30">
        <v>0</v>
      </c>
      <c r="E45" s="27">
        <v>1</v>
      </c>
      <c r="F45" s="31">
        <f t="shared" si="0"/>
        <v>0.1679035250463822</v>
      </c>
      <c r="G45" s="31">
        <f t="shared" si="1"/>
        <v>0.14928326822804633</v>
      </c>
    </row>
    <row r="46" spans="1:7">
      <c r="A46" s="5">
        <v>39202</v>
      </c>
      <c r="B46" s="12">
        <v>539</v>
      </c>
      <c r="C46" s="2">
        <v>1743.33</v>
      </c>
      <c r="D46" s="30">
        <v>0</v>
      </c>
      <c r="E46" s="27">
        <v>1</v>
      </c>
      <c r="F46" s="31">
        <f t="shared" si="0"/>
        <v>1.5544041450777202E-2</v>
      </c>
      <c r="G46" s="31">
        <f t="shared" si="1"/>
        <v>-9.9666076052883669E-3</v>
      </c>
    </row>
    <row r="47" spans="1:7">
      <c r="A47" s="5">
        <v>39170</v>
      </c>
      <c r="B47" s="12">
        <v>530.75</v>
      </c>
      <c r="C47" s="2">
        <v>1760.88</v>
      </c>
      <c r="D47" s="30">
        <v>0</v>
      </c>
      <c r="E47" s="27">
        <v>1.5</v>
      </c>
      <c r="F47" s="31">
        <f t="shared" si="0"/>
        <v>5.569125549584758E-2</v>
      </c>
      <c r="G47" s="31">
        <f t="shared" si="1"/>
        <v>-1.7113768043135993E-2</v>
      </c>
    </row>
    <row r="48" spans="1:7">
      <c r="A48" s="5">
        <v>39141</v>
      </c>
      <c r="B48" s="12">
        <v>511.75</v>
      </c>
      <c r="C48" s="2">
        <v>1791.54</v>
      </c>
      <c r="D48" s="30">
        <v>0</v>
      </c>
      <c r="E48" s="27">
        <v>1</v>
      </c>
      <c r="F48" s="31">
        <f t="shared" si="0"/>
        <v>-2.8937381404174574E-2</v>
      </c>
      <c r="G48" s="31">
        <f t="shared" si="1"/>
        <v>-7.523034563054351E-3</v>
      </c>
    </row>
    <row r="49" spans="1:7">
      <c r="A49" s="5">
        <v>39113</v>
      </c>
      <c r="B49" s="12">
        <v>527</v>
      </c>
      <c r="C49" s="2">
        <v>1805.1199799999999</v>
      </c>
      <c r="D49" s="30">
        <v>0</v>
      </c>
      <c r="E49" s="27">
        <v>1</v>
      </c>
      <c r="F49" s="31">
        <f t="shared" si="0"/>
        <v>8.6038124678001024E-2</v>
      </c>
      <c r="G49" s="31">
        <f t="shared" si="1"/>
        <v>0.12153387055687753</v>
      </c>
    </row>
    <row r="50" spans="1:7">
      <c r="A50" s="5">
        <v>39079</v>
      </c>
      <c r="B50" s="12">
        <v>485.25</v>
      </c>
      <c r="C50" s="2">
        <v>1609.51</v>
      </c>
      <c r="D50" s="30">
        <v>0</v>
      </c>
      <c r="E50" s="27">
        <v>1</v>
      </c>
      <c r="F50" s="31">
        <f t="shared" si="0"/>
        <v>4.1386445938954991E-3</v>
      </c>
      <c r="G50" s="31">
        <f t="shared" si="1"/>
        <v>5.3833914973580678E-2</v>
      </c>
    </row>
    <row r="51" spans="1:7">
      <c r="A51" s="5">
        <v>39051</v>
      </c>
      <c r="B51" s="12">
        <v>483.25</v>
      </c>
      <c r="C51" s="3">
        <v>1527.29</v>
      </c>
      <c r="D51" s="30">
        <v>0</v>
      </c>
      <c r="E51" s="27">
        <v>1</v>
      </c>
      <c r="F51" s="31">
        <f t="shared" si="0"/>
        <v>-2.1761133603238867E-2</v>
      </c>
      <c r="G51" s="31">
        <f t="shared" si="1"/>
        <v>-9.3146952940032605E-3</v>
      </c>
    </row>
    <row r="52" spans="1:7">
      <c r="A52" s="5">
        <v>39018</v>
      </c>
      <c r="B52" s="7">
        <v>494</v>
      </c>
      <c r="C52" s="2">
        <v>1541.65</v>
      </c>
      <c r="D52" s="30">
        <v>0</v>
      </c>
      <c r="E52" s="27">
        <v>1</v>
      </c>
      <c r="F52" s="31">
        <f t="shared" si="0"/>
        <v>-1.5936254980079681E-2</v>
      </c>
      <c r="G52" s="31">
        <f t="shared" si="1"/>
        <v>-1.336294343148604E-2</v>
      </c>
    </row>
    <row r="53" spans="1:7">
      <c r="A53" s="5">
        <v>38988</v>
      </c>
      <c r="B53" s="7">
        <v>502</v>
      </c>
      <c r="C53" s="2">
        <v>1562.53</v>
      </c>
      <c r="D53" s="30">
        <v>50</v>
      </c>
      <c r="E53" s="27">
        <v>1</v>
      </c>
      <c r="F53" s="31">
        <f t="shared" si="0"/>
        <v>-1.6918967052537846E-2</v>
      </c>
      <c r="G53" s="31">
        <f t="shared" si="1"/>
        <v>-1.5468659424855681E-2</v>
      </c>
    </row>
    <row r="54" spans="1:7">
      <c r="A54" s="5">
        <v>38960</v>
      </c>
      <c r="B54" s="3">
        <v>561.5</v>
      </c>
      <c r="C54" s="2">
        <v>1587.08</v>
      </c>
      <c r="D54" s="30">
        <v>0</v>
      </c>
      <c r="E54" s="27">
        <v>1</v>
      </c>
      <c r="F54" s="31">
        <f t="shared" si="0"/>
        <v>9.4008767657087183E-2</v>
      </c>
      <c r="G54" s="31">
        <f t="shared" si="1"/>
        <v>0.12814097141760436</v>
      </c>
    </row>
    <row r="55" spans="1:7">
      <c r="A55" s="5">
        <v>38929</v>
      </c>
      <c r="B55" s="7">
        <v>513.25</v>
      </c>
      <c r="C55" s="2">
        <v>1406.81</v>
      </c>
      <c r="D55" s="30">
        <v>0</v>
      </c>
      <c r="E55" s="27">
        <v>1</v>
      </c>
      <c r="F55" s="31">
        <f t="shared" si="0"/>
        <v>5.0127877237851663E-2</v>
      </c>
      <c r="G55" s="31">
        <f t="shared" si="1"/>
        <v>5.0234412326803604E-2</v>
      </c>
    </row>
    <row r="56" spans="1:7">
      <c r="A56" s="5">
        <v>38897</v>
      </c>
      <c r="B56" s="3">
        <v>488.75</v>
      </c>
      <c r="C56" s="2">
        <v>1339.52</v>
      </c>
      <c r="D56" s="30">
        <v>0</v>
      </c>
      <c r="E56" s="27">
        <v>1</v>
      </c>
      <c r="F56" s="31">
        <f t="shared" si="0"/>
        <v>-8.4737827715355804E-2</v>
      </c>
      <c r="G56" s="31">
        <f t="shared" si="1"/>
        <v>-1.1453536426968933E-2</v>
      </c>
    </row>
    <row r="57" spans="1:7">
      <c r="A57" s="5">
        <v>38868</v>
      </c>
      <c r="B57" s="3">
        <v>534</v>
      </c>
      <c r="C57" s="2">
        <v>1355.04</v>
      </c>
      <c r="D57" s="30">
        <v>0</v>
      </c>
      <c r="E57" s="27">
        <v>1</v>
      </c>
      <c r="F57" s="31">
        <f t="shared" si="0"/>
        <v>-1.8382352941176471E-2</v>
      </c>
      <c r="G57" s="31">
        <f t="shared" si="1"/>
        <v>-4.576608608138002E-3</v>
      </c>
    </row>
    <row r="58" spans="1:7">
      <c r="A58" s="5">
        <v>38837</v>
      </c>
      <c r="B58" s="12">
        <v>544</v>
      </c>
      <c r="C58" s="2">
        <v>1361.27</v>
      </c>
      <c r="D58" s="30">
        <v>0</v>
      </c>
      <c r="E58" s="27">
        <v>1</v>
      </c>
      <c r="F58" s="31">
        <f t="shared" si="0"/>
        <v>-9.8217985909656025E-2</v>
      </c>
      <c r="G58" s="31">
        <f t="shared" si="1"/>
        <v>-8.7479973454352877E-2</v>
      </c>
    </row>
    <row r="59" spans="1:7">
      <c r="A59" s="5">
        <v>38806</v>
      </c>
      <c r="B59" s="12">
        <v>603.25</v>
      </c>
      <c r="C59" s="2">
        <v>1491.77</v>
      </c>
      <c r="D59" s="30">
        <v>0</v>
      </c>
      <c r="E59" s="27">
        <v>1</v>
      </c>
      <c r="F59" s="31">
        <f t="shared" si="0"/>
        <v>2.1591871295512276E-2</v>
      </c>
      <c r="G59" s="31">
        <f t="shared" si="1"/>
        <v>-2.5897363901712829E-2</v>
      </c>
    </row>
    <row r="60" spans="1:7">
      <c r="A60" s="5">
        <v>38776</v>
      </c>
      <c r="B60" s="7">
        <v>590.5</v>
      </c>
      <c r="C60" s="2">
        <v>1531.43</v>
      </c>
      <c r="D60" s="30">
        <v>0</v>
      </c>
      <c r="E60" s="27">
        <v>1</v>
      </c>
      <c r="F60" s="31">
        <f t="shared" si="0"/>
        <v>-2.7983539094650206E-2</v>
      </c>
      <c r="G60" s="31">
        <f t="shared" si="1"/>
        <v>-6.8099115216571041E-2</v>
      </c>
    </row>
    <row r="61" spans="1:7">
      <c r="A61" s="5">
        <v>38748</v>
      </c>
      <c r="B61" s="7">
        <v>607.5</v>
      </c>
      <c r="C61" s="2">
        <v>1643.34</v>
      </c>
      <c r="D61" s="30">
        <v>0</v>
      </c>
      <c r="E61" s="27">
        <v>1</v>
      </c>
      <c r="F61" s="32"/>
      <c r="G61" s="32"/>
    </row>
    <row r="64" spans="1:7">
      <c r="A64" s="17" t="s">
        <v>13</v>
      </c>
      <c r="B64" s="17">
        <f>COVAR(F2:F60,G2:G60)</f>
        <v>2.9903744192572145E-3</v>
      </c>
    </row>
    <row r="65" spans="1:8">
      <c r="A65" s="17" t="s">
        <v>14</v>
      </c>
      <c r="B65" s="17">
        <f>VAR(G2:G60)</f>
        <v>5.4741571423345793E-3</v>
      </c>
    </row>
    <row r="66" spans="1:8">
      <c r="A66" s="17" t="s">
        <v>15</v>
      </c>
      <c r="B66" s="17">
        <f>B64/B65</f>
        <v>0.54627120513787464</v>
      </c>
    </row>
    <row r="67" spans="1:8">
      <c r="A67" s="17" t="s">
        <v>26</v>
      </c>
      <c r="B67" s="17">
        <f>B66*0.67+0.33*1</f>
        <v>0.69600170744237611</v>
      </c>
    </row>
    <row r="68" spans="1:8">
      <c r="A68" s="17" t="s">
        <v>16</v>
      </c>
      <c r="B68" s="18">
        <f>AVERAGE(G2:G60)</f>
        <v>3.0325562864957006E-2</v>
      </c>
    </row>
    <row r="69" spans="1:8">
      <c r="A69" s="17" t="s">
        <v>17</v>
      </c>
      <c r="B69" s="18">
        <f>B68*(12)</f>
        <v>0.36390675437948405</v>
      </c>
    </row>
    <row r="70" spans="1:8">
      <c r="A70" s="19"/>
      <c r="B70" s="19"/>
    </row>
    <row r="71" spans="1:8">
      <c r="A71" s="19"/>
      <c r="B71" s="19"/>
    </row>
    <row r="72" spans="1:8">
      <c r="A72" s="17" t="s">
        <v>18</v>
      </c>
      <c r="B72" s="19">
        <v>0.08</v>
      </c>
    </row>
    <row r="73" spans="1:8">
      <c r="A73" s="17" t="s">
        <v>16</v>
      </c>
      <c r="B73" s="20">
        <f>B69</f>
        <v>0.36390675437948405</v>
      </c>
    </row>
    <row r="74" spans="1:8">
      <c r="A74" s="33" t="s">
        <v>19</v>
      </c>
      <c r="B74" s="34">
        <f>B72+(B69-B72)*B67</f>
        <v>0.27759958580254418</v>
      </c>
    </row>
    <row r="78" spans="1:8">
      <c r="A78" t="s">
        <v>20</v>
      </c>
      <c r="B78" s="1" t="s">
        <v>21</v>
      </c>
      <c r="C78" s="1" t="s">
        <v>22</v>
      </c>
      <c r="D78" s="1" t="s">
        <v>23</v>
      </c>
      <c r="E78" s="1" t="s">
        <v>24</v>
      </c>
      <c r="F78" s="1" t="s">
        <v>25</v>
      </c>
      <c r="G78" s="1"/>
      <c r="H78" s="1"/>
    </row>
    <row r="79" spans="1:8">
      <c r="A79" t="s">
        <v>27</v>
      </c>
      <c r="B79">
        <v>242764904</v>
      </c>
      <c r="C79">
        <v>168930625</v>
      </c>
      <c r="D79">
        <v>240334940</v>
      </c>
      <c r="E79">
        <v>141281842</v>
      </c>
      <c r="F79">
        <v>202401558</v>
      </c>
    </row>
    <row r="80" spans="1:8">
      <c r="A80" t="s">
        <v>28</v>
      </c>
      <c r="C80">
        <f>(B79+C79)/2</f>
        <v>205847764.5</v>
      </c>
      <c r="D80">
        <f t="shared" ref="D80:F80" si="2">(C79+D79)/2</f>
        <v>204632782.5</v>
      </c>
      <c r="E80">
        <f t="shared" si="2"/>
        <v>190808391</v>
      </c>
      <c r="F80">
        <f t="shared" si="2"/>
        <v>171841700</v>
      </c>
    </row>
    <row r="81" spans="1:8">
      <c r="A81" t="s">
        <v>40</v>
      </c>
      <c r="C81">
        <v>34253260</v>
      </c>
      <c r="D81">
        <v>30787024</v>
      </c>
      <c r="E81">
        <v>33567694</v>
      </c>
      <c r="F81">
        <v>28339696</v>
      </c>
    </row>
    <row r="82" spans="1:8">
      <c r="A82" t="s">
        <v>29</v>
      </c>
      <c r="C82">
        <f>C81/C80</f>
        <v>0.16640093266594597</v>
      </c>
      <c r="D82">
        <f t="shared" ref="D82:F82" si="3">D81/D80</f>
        <v>0.15045010688842098</v>
      </c>
      <c r="E82">
        <f t="shared" si="3"/>
        <v>0.17592357350783383</v>
      </c>
      <c r="F82">
        <f t="shared" si="3"/>
        <v>0.16491745600747665</v>
      </c>
    </row>
    <row r="83" spans="1:8">
      <c r="A83" t="s">
        <v>30</v>
      </c>
      <c r="F83" s="23">
        <f>AVERAGE(C82:F82)</f>
        <v>0.16442301726741937</v>
      </c>
      <c r="H83" s="23"/>
    </row>
    <row r="86" spans="1:8">
      <c r="A86" t="s">
        <v>32</v>
      </c>
      <c r="B86" s="24">
        <f>B2</f>
        <v>2613.5</v>
      </c>
    </row>
    <row r="87" spans="1:8">
      <c r="A87" t="s">
        <v>33</v>
      </c>
      <c r="B87" s="25">
        <v>720816</v>
      </c>
      <c r="C87" s="25"/>
    </row>
    <row r="88" spans="1:8">
      <c r="A88" t="s">
        <v>31</v>
      </c>
      <c r="B88" s="24">
        <f>B86*B87</f>
        <v>1883852616</v>
      </c>
    </row>
    <row r="89" spans="1:8">
      <c r="A89" t="s">
        <v>34</v>
      </c>
      <c r="B89">
        <v>202401558</v>
      </c>
    </row>
    <row r="90" spans="1:8">
      <c r="A90" t="s">
        <v>35</v>
      </c>
      <c r="B90">
        <f>(B88/(B88+B89))</f>
        <v>0.90298326995701916</v>
      </c>
    </row>
    <row r="91" spans="1:8">
      <c r="A91" t="s">
        <v>36</v>
      </c>
      <c r="B91">
        <f>1-B90</f>
        <v>9.7016730042980837E-2</v>
      </c>
    </row>
    <row r="92" spans="1:8">
      <c r="A92" t="s">
        <v>0</v>
      </c>
      <c r="B92">
        <v>0.25</v>
      </c>
    </row>
    <row r="94" spans="1:8">
      <c r="A94" s="35" t="s">
        <v>37</v>
      </c>
      <c r="B94" s="36">
        <f>B74*B90+H83*B91*(1-B92)</f>
        <v>0.25066778172669546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Discount rate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</dc:creator>
  <cp:lastModifiedBy>Department of Finance</cp:lastModifiedBy>
  <dcterms:created xsi:type="dcterms:W3CDTF">2015-12-13T06:53:23Z</dcterms:created>
  <dcterms:modified xsi:type="dcterms:W3CDTF">2017-03-10T14:22:46Z</dcterms:modified>
</cp:coreProperties>
</file>