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8800" windowHeight="16360" tabRatio="725" activeTab="3"/>
  </bookViews>
  <sheets>
    <sheet name="Income statement " sheetId="1" r:id="rId1"/>
    <sheet name="Balance sheet " sheetId="2" r:id="rId2"/>
    <sheet name="Calculation" sheetId="13" r:id="rId3"/>
    <sheet name="Discount rate" sheetId="3" r:id="rId4"/>
    <sheet name="Proforma Income statement " sheetId="5" r:id="rId5"/>
    <sheet name="Proforma Balance sheet" sheetId="6" r:id="rId6"/>
    <sheet name="Proforma -FCF  " sheetId="9" r:id="rId7"/>
    <sheet name="Proforma -DDM" sheetId="12" r:id="rId8"/>
  </sheets>
  <calcPr calcId="140001" iterate="1" iterateCount="13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2" i="3"/>
  <c r="D7" i="9"/>
  <c r="E7" i="9"/>
  <c r="C7" i="9"/>
  <c r="D32" i="6"/>
  <c r="E32" i="6"/>
  <c r="C32" i="6"/>
  <c r="C31" i="6"/>
  <c r="D31" i="6"/>
  <c r="E31" i="6"/>
  <c r="B31" i="6"/>
  <c r="C30" i="6"/>
  <c r="D30" i="6"/>
  <c r="E30" i="6"/>
  <c r="C29" i="6"/>
  <c r="D29" i="6"/>
  <c r="E29" i="6"/>
  <c r="B30" i="6"/>
  <c r="B29" i="6"/>
  <c r="D5" i="9"/>
  <c r="E5" i="9"/>
  <c r="C5" i="9"/>
  <c r="D4" i="9"/>
  <c r="E4" i="9"/>
  <c r="C4" i="9"/>
  <c r="C3" i="9"/>
  <c r="C2" i="9"/>
  <c r="D2" i="9"/>
  <c r="E2" i="9"/>
  <c r="B2" i="9"/>
  <c r="D2" i="12"/>
  <c r="E2" i="12"/>
  <c r="C2" i="12"/>
  <c r="D8" i="6"/>
  <c r="E8" i="6"/>
  <c r="C8" i="6"/>
  <c r="D9" i="6"/>
  <c r="E9" i="6"/>
  <c r="C9" i="6"/>
  <c r="D10" i="6"/>
  <c r="E10" i="6"/>
  <c r="C10" i="6"/>
  <c r="D24" i="6"/>
  <c r="E24" i="6"/>
  <c r="C24" i="6"/>
  <c r="D23" i="6"/>
  <c r="E23" i="6"/>
  <c r="C23" i="6"/>
  <c r="D22" i="6"/>
  <c r="E22" i="6"/>
  <c r="C22" i="6"/>
  <c r="D21" i="6"/>
  <c r="E21" i="6"/>
  <c r="D20" i="6"/>
  <c r="E20" i="6"/>
  <c r="D19" i="6"/>
  <c r="E19" i="6"/>
  <c r="C21" i="6"/>
  <c r="C20" i="6"/>
  <c r="C19" i="6"/>
  <c r="D7" i="6"/>
  <c r="E7" i="6"/>
  <c r="D6" i="6"/>
  <c r="E6" i="6"/>
  <c r="D5" i="6"/>
  <c r="E5" i="6"/>
  <c r="C7" i="6"/>
  <c r="C6" i="6"/>
  <c r="C5" i="6"/>
  <c r="B19" i="13"/>
  <c r="B18" i="13"/>
  <c r="B17" i="13"/>
  <c r="B16" i="13"/>
  <c r="B15" i="13"/>
  <c r="B14" i="13"/>
  <c r="D2" i="6"/>
  <c r="E2" i="6"/>
  <c r="C2" i="6"/>
  <c r="H12" i="13"/>
  <c r="I12" i="13"/>
  <c r="G12" i="13"/>
  <c r="D13" i="13"/>
  <c r="E13" i="13"/>
  <c r="F13" i="13"/>
  <c r="C13" i="13"/>
  <c r="D11" i="13"/>
  <c r="E11" i="13"/>
  <c r="F11" i="13"/>
  <c r="C11" i="13"/>
  <c r="D13" i="6"/>
  <c r="E13" i="6"/>
  <c r="C13" i="6"/>
  <c r="D12" i="6"/>
  <c r="E12" i="6"/>
  <c r="C12" i="6"/>
  <c r="D13" i="5"/>
  <c r="E13" i="5"/>
  <c r="C13" i="5"/>
  <c r="D12" i="5"/>
  <c r="E12" i="5"/>
  <c r="C12" i="5"/>
  <c r="C10" i="13"/>
  <c r="D10" i="13"/>
  <c r="E10" i="13"/>
  <c r="F10" i="13"/>
  <c r="B10" i="13"/>
  <c r="D11" i="5"/>
  <c r="E11" i="5"/>
  <c r="C11" i="5"/>
  <c r="D10" i="5"/>
  <c r="E10" i="5"/>
  <c r="C10" i="5"/>
  <c r="C9" i="13"/>
  <c r="D9" i="13"/>
  <c r="E9" i="13"/>
  <c r="F9" i="13"/>
  <c r="B9" i="13"/>
  <c r="D9" i="5"/>
  <c r="E9" i="5"/>
  <c r="C9" i="5"/>
  <c r="D8" i="5"/>
  <c r="E8" i="5"/>
  <c r="C8" i="5"/>
  <c r="H78" i="3"/>
  <c r="I78" i="3"/>
  <c r="G78" i="3"/>
  <c r="D18" i="6"/>
  <c r="E18" i="6"/>
  <c r="C18" i="6"/>
  <c r="D15" i="6"/>
  <c r="E15" i="6"/>
  <c r="C15" i="6"/>
  <c r="G8" i="13"/>
  <c r="F8" i="13"/>
  <c r="E8" i="13"/>
  <c r="B8" i="13"/>
  <c r="D17" i="6"/>
  <c r="E17" i="6"/>
  <c r="C17" i="6"/>
  <c r="C7" i="13"/>
  <c r="D7" i="13"/>
  <c r="E7" i="13"/>
  <c r="F7" i="13"/>
  <c r="B7" i="13"/>
  <c r="F81" i="3"/>
  <c r="D80" i="3"/>
  <c r="E80" i="3"/>
  <c r="F80" i="3"/>
  <c r="C80" i="3"/>
  <c r="D79" i="3"/>
  <c r="E79" i="3"/>
  <c r="F79" i="3"/>
  <c r="C79" i="3"/>
  <c r="C78" i="3"/>
  <c r="D78" i="3"/>
  <c r="E78" i="3"/>
  <c r="F78" i="3"/>
  <c r="B78" i="3"/>
  <c r="D7" i="5"/>
  <c r="E7" i="5"/>
  <c r="C7" i="5"/>
  <c r="D3" i="6"/>
  <c r="E3" i="6"/>
  <c r="C3" i="6"/>
  <c r="G5" i="13"/>
  <c r="D5" i="13"/>
  <c r="E5" i="13"/>
  <c r="F5" i="13"/>
  <c r="C5" i="13"/>
  <c r="G6" i="13"/>
  <c r="C6" i="13"/>
  <c r="D6" i="13"/>
  <c r="E6" i="13"/>
  <c r="F6" i="13"/>
  <c r="B6" i="13"/>
  <c r="D6" i="5"/>
  <c r="E6" i="5"/>
  <c r="C6" i="5"/>
  <c r="D5" i="5"/>
  <c r="E5" i="5"/>
  <c r="C5" i="5"/>
  <c r="C4" i="13"/>
  <c r="D4" i="13"/>
  <c r="E4" i="13"/>
  <c r="F4" i="13"/>
  <c r="B4" i="13"/>
  <c r="D4" i="5"/>
  <c r="E4" i="5"/>
  <c r="C4" i="5"/>
  <c r="D3" i="5"/>
  <c r="E3" i="5"/>
  <c r="C3" i="5"/>
  <c r="C3" i="13"/>
  <c r="D3" i="13"/>
  <c r="E3" i="13"/>
  <c r="F3" i="13"/>
  <c r="B3" i="13"/>
  <c r="D2" i="5"/>
  <c r="E2" i="5"/>
  <c r="C2" i="5"/>
  <c r="G2" i="13"/>
  <c r="D2" i="13"/>
  <c r="E2" i="13"/>
  <c r="F2" i="13"/>
  <c r="C2" i="13"/>
  <c r="H5" i="13"/>
  <c r="I5" i="13"/>
  <c r="H8" i="13"/>
  <c r="I8" i="13"/>
  <c r="G13" i="13"/>
  <c r="H13" i="13"/>
  <c r="I13" i="13"/>
  <c r="B4" i="1"/>
  <c r="B6" i="1"/>
  <c r="B9" i="1"/>
  <c r="C4" i="1"/>
  <c r="C6" i="1"/>
  <c r="C9" i="1"/>
  <c r="D4" i="1"/>
  <c r="D6" i="1"/>
  <c r="D9" i="1"/>
  <c r="E4" i="1"/>
  <c r="E6" i="1"/>
  <c r="E9" i="1"/>
  <c r="F4" i="1"/>
  <c r="F6" i="1"/>
  <c r="F9" i="1"/>
  <c r="G9" i="13"/>
  <c r="D3" i="9"/>
  <c r="E3" i="9"/>
  <c r="B11" i="1"/>
  <c r="C11" i="1"/>
  <c r="D11" i="1"/>
  <c r="E11" i="1"/>
  <c r="F11" i="1"/>
  <c r="G10" i="13"/>
  <c r="C15" i="13"/>
  <c r="D15" i="13"/>
  <c r="E15" i="13"/>
  <c r="F15" i="13"/>
  <c r="G15" i="13"/>
  <c r="C16" i="13"/>
  <c r="D16" i="13"/>
  <c r="E16" i="13"/>
  <c r="F16" i="13"/>
  <c r="G16" i="13"/>
  <c r="C17" i="13"/>
  <c r="D17" i="13"/>
  <c r="E17" i="13"/>
  <c r="F17" i="13"/>
  <c r="G17" i="13"/>
  <c r="C18" i="13"/>
  <c r="D18" i="13"/>
  <c r="E18" i="13"/>
  <c r="F18" i="13"/>
  <c r="G18" i="13"/>
  <c r="C19" i="13"/>
  <c r="D19" i="13"/>
  <c r="E19" i="13"/>
  <c r="F19" i="13"/>
  <c r="G19" i="13"/>
  <c r="C14" i="13"/>
  <c r="D14" i="13"/>
  <c r="E14" i="13"/>
  <c r="F14" i="13"/>
  <c r="G14" i="13"/>
  <c r="G7" i="13"/>
  <c r="G4" i="13"/>
  <c r="G3" i="13"/>
  <c r="H3" i="13"/>
  <c r="I3" i="13"/>
  <c r="H10" i="13"/>
  <c r="I10" i="13"/>
  <c r="H9" i="13"/>
  <c r="I9" i="13"/>
  <c r="H2" i="13"/>
  <c r="I2" i="13"/>
  <c r="H4" i="13"/>
  <c r="I4" i="13"/>
  <c r="H6" i="13"/>
  <c r="I6" i="13"/>
  <c r="H7" i="13"/>
  <c r="I7" i="13"/>
  <c r="I79" i="3"/>
  <c r="G81" i="3"/>
  <c r="H81" i="3"/>
  <c r="G79" i="3"/>
  <c r="H79" i="3"/>
  <c r="E14" i="6"/>
  <c r="H17" i="13"/>
  <c r="I17" i="13"/>
  <c r="H18" i="13"/>
  <c r="I18" i="13"/>
  <c r="H19" i="13"/>
  <c r="I19" i="13"/>
  <c r="E16" i="6"/>
  <c r="E4" i="6"/>
  <c r="H14" i="13"/>
  <c r="I14" i="13"/>
  <c r="H16" i="13"/>
  <c r="I16" i="13"/>
  <c r="D14" i="6"/>
  <c r="D16" i="6"/>
  <c r="D4" i="6"/>
  <c r="B84" i="3"/>
  <c r="B85" i="3"/>
  <c r="B86" i="3"/>
  <c r="B87" i="3"/>
  <c r="B88" i="3"/>
  <c r="B89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B68" i="3"/>
  <c r="B69" i="3"/>
  <c r="B72" i="3"/>
  <c r="C14" i="6"/>
  <c r="C16" i="6"/>
  <c r="C4" i="6"/>
  <c r="B9" i="6"/>
  <c r="B22" i="6"/>
  <c r="B97" i="3"/>
  <c r="E8" i="12"/>
  <c r="B12" i="12"/>
  <c r="E14" i="9"/>
  <c r="D6" i="9"/>
  <c r="E6" i="9"/>
  <c r="E8" i="9"/>
  <c r="C8" i="9"/>
  <c r="D8" i="9"/>
  <c r="B21" i="9"/>
  <c r="B19" i="9"/>
  <c r="B18" i="9"/>
  <c r="B4" i="5"/>
  <c r="B6" i="5"/>
  <c r="I81" i="3"/>
  <c r="B90" i="3"/>
  <c r="B65" i="3"/>
  <c r="H15" i="13"/>
  <c r="I15" i="13"/>
  <c r="B16" i="6"/>
  <c r="B23" i="6"/>
  <c r="B14" i="6"/>
  <c r="B24" i="6"/>
  <c r="B4" i="6"/>
  <c r="B10" i="6"/>
  <c r="B11" i="5"/>
  <c r="B13" i="5"/>
  <c r="C9" i="2"/>
  <c r="D9" i="2"/>
  <c r="E9" i="2"/>
  <c r="F9" i="2"/>
  <c r="B9" i="2"/>
  <c r="C4" i="2"/>
  <c r="C10" i="2"/>
  <c r="C22" i="2"/>
  <c r="C16" i="2"/>
  <c r="C23" i="2"/>
  <c r="C14" i="2"/>
  <c r="C24" i="2"/>
  <c r="C27" i="2"/>
  <c r="D4" i="2"/>
  <c r="D10" i="2"/>
  <c r="D22" i="2"/>
  <c r="D16" i="2"/>
  <c r="D23" i="2"/>
  <c r="D14" i="2"/>
  <c r="D24" i="2"/>
  <c r="D27" i="2"/>
  <c r="E4" i="2"/>
  <c r="E10" i="2"/>
  <c r="E22" i="2"/>
  <c r="E16" i="2"/>
  <c r="E23" i="2"/>
  <c r="E14" i="2"/>
  <c r="E24" i="2"/>
  <c r="E27" i="2"/>
  <c r="F4" i="2"/>
  <c r="F10" i="2"/>
  <c r="F22" i="2"/>
  <c r="F16" i="2"/>
  <c r="F23" i="2"/>
  <c r="F14" i="2"/>
  <c r="F24" i="2"/>
  <c r="F27" i="2"/>
  <c r="B4" i="2"/>
  <c r="B10" i="2"/>
  <c r="B22" i="2"/>
  <c r="B16" i="2"/>
  <c r="B23" i="2"/>
  <c r="B14" i="2"/>
  <c r="B24" i="2"/>
  <c r="B27" i="2"/>
  <c r="E13" i="1"/>
  <c r="F13" i="1"/>
  <c r="D13" i="1"/>
  <c r="C13" i="1"/>
  <c r="B13" i="1"/>
  <c r="B64" i="3"/>
  <c r="B66" i="3"/>
  <c r="B67" i="3"/>
  <c r="B73" i="3"/>
  <c r="B93" i="3"/>
  <c r="C9" i="9"/>
  <c r="C11" i="9"/>
  <c r="C12" i="9"/>
  <c r="D9" i="9"/>
  <c r="D11" i="9"/>
  <c r="D12" i="9"/>
  <c r="E9" i="9"/>
  <c r="E11" i="9"/>
  <c r="E12" i="9"/>
  <c r="B13" i="9"/>
  <c r="E15" i="9"/>
  <c r="E16" i="9"/>
  <c r="B17" i="9"/>
  <c r="B20" i="9"/>
  <c r="B22" i="9"/>
  <c r="C3" i="12"/>
  <c r="D3" i="12"/>
  <c r="E3" i="12"/>
  <c r="E9" i="12"/>
  <c r="E5" i="12"/>
  <c r="E10" i="12"/>
  <c r="C5" i="12"/>
  <c r="C6" i="12"/>
  <c r="D5" i="12"/>
  <c r="D6" i="12"/>
  <c r="E6" i="12"/>
  <c r="B7" i="12"/>
  <c r="B11" i="12"/>
  <c r="B13" i="12"/>
</calcChain>
</file>

<file path=xl/sharedStrings.xml><?xml version="1.0" encoding="utf-8"?>
<sst xmlns="http://schemas.openxmlformats.org/spreadsheetml/2006/main" count="275" uniqueCount="206">
  <si>
    <t xml:space="preserve">Particulars </t>
  </si>
  <si>
    <t xml:space="preserve">Sales </t>
  </si>
  <si>
    <t xml:space="preserve">Less: COGS </t>
  </si>
  <si>
    <t xml:space="preserve">Gross profit </t>
  </si>
  <si>
    <t>Less: Operating expense</t>
  </si>
  <si>
    <t>Operating profit</t>
  </si>
  <si>
    <t xml:space="preserve">Plus: Interest income </t>
  </si>
  <si>
    <t xml:space="preserve">EBT </t>
  </si>
  <si>
    <t>Less: Tax</t>
  </si>
  <si>
    <t xml:space="preserve">Net income </t>
  </si>
  <si>
    <t xml:space="preserve">Less: Dividend </t>
  </si>
  <si>
    <t xml:space="preserve">Transfer to the reserve </t>
  </si>
  <si>
    <t>Less: Interest expense</t>
  </si>
  <si>
    <t xml:space="preserve">Particular </t>
  </si>
  <si>
    <t>PPE</t>
  </si>
  <si>
    <t>Investment</t>
  </si>
  <si>
    <t>Total fixed asset</t>
  </si>
  <si>
    <t>Inventory</t>
  </si>
  <si>
    <t>Accounts receivable</t>
  </si>
  <si>
    <t xml:space="preserve">Advance and prepayment </t>
  </si>
  <si>
    <t xml:space="preserve">Cash </t>
  </si>
  <si>
    <t xml:space="preserve">Total curent asset </t>
  </si>
  <si>
    <t xml:space="preserve">Total asset </t>
  </si>
  <si>
    <t xml:space="preserve">Share capital </t>
  </si>
  <si>
    <t xml:space="preserve">Reserve &amp; Surplus </t>
  </si>
  <si>
    <t xml:space="preserve">Total equity </t>
  </si>
  <si>
    <t xml:space="preserve">Long-term loan </t>
  </si>
  <si>
    <t xml:space="preserve">Total long-term liability </t>
  </si>
  <si>
    <t xml:space="preserve">Short-term loan </t>
  </si>
  <si>
    <t xml:space="preserve">Current portion of LTD </t>
  </si>
  <si>
    <t xml:space="preserve">Accounts payable </t>
  </si>
  <si>
    <t>Accrued expenses</t>
  </si>
  <si>
    <t xml:space="preserve">Other liabilities </t>
  </si>
  <si>
    <t xml:space="preserve">Total current liability </t>
  </si>
  <si>
    <t xml:space="preserve">Total liabilities </t>
  </si>
  <si>
    <t xml:space="preserve">Total equity &amp; liabilities </t>
  </si>
  <si>
    <t xml:space="preserve">Depreciation </t>
  </si>
  <si>
    <t>30/12/2010</t>
  </si>
  <si>
    <t>30/11/2010</t>
  </si>
  <si>
    <t>31/10/2010</t>
  </si>
  <si>
    <t>30/09/2010</t>
  </si>
  <si>
    <t>31/08/2010</t>
  </si>
  <si>
    <t>29/07/2010</t>
  </si>
  <si>
    <t>30/06/2010</t>
  </si>
  <si>
    <t xml:space="preserve">Time </t>
  </si>
  <si>
    <t xml:space="preserve">Monthly closing - BDL </t>
  </si>
  <si>
    <t xml:space="preserve">DGEN </t>
  </si>
  <si>
    <t xml:space="preserve">Number of outstanding shares </t>
  </si>
  <si>
    <t xml:space="preserve">Total loan </t>
  </si>
  <si>
    <t xml:space="preserve">Average loan </t>
  </si>
  <si>
    <t xml:space="preserve">Interest rate </t>
  </si>
  <si>
    <t xml:space="preserve">Tax rate </t>
  </si>
  <si>
    <t xml:space="preserve">Covariance </t>
  </si>
  <si>
    <t xml:space="preserve">Variance of market return </t>
  </si>
  <si>
    <t xml:space="preserve">Beta </t>
  </si>
  <si>
    <t xml:space="preserve">Market return </t>
  </si>
  <si>
    <t xml:space="preserve">Market return -yearly </t>
  </si>
  <si>
    <t xml:space="preserve">Risk-free rate </t>
  </si>
  <si>
    <t xml:space="preserve">Cost of equity </t>
  </si>
  <si>
    <t xml:space="preserve">Enterprise value </t>
  </si>
  <si>
    <t xml:space="preserve">Equity value </t>
  </si>
  <si>
    <t xml:space="preserve">Value per share </t>
  </si>
  <si>
    <t>Assumption:</t>
  </si>
  <si>
    <t xml:space="preserve">Cash dividend </t>
  </si>
  <si>
    <t xml:space="preserve">Bonus information </t>
  </si>
  <si>
    <t xml:space="preserve">Blumes adjustment </t>
  </si>
  <si>
    <t>Historical - Year 1</t>
  </si>
  <si>
    <t>Historical - Year 2</t>
  </si>
  <si>
    <t>Historical - Year 3</t>
  </si>
  <si>
    <t>Historical - Year 4</t>
  </si>
  <si>
    <t>Historical - Year 5</t>
  </si>
  <si>
    <t xml:space="preserve">Average intererst rate </t>
  </si>
  <si>
    <t xml:space="preserve">Market price </t>
  </si>
  <si>
    <t xml:space="preserve">Number  of shares </t>
  </si>
  <si>
    <t xml:space="preserve">Market value of equity </t>
  </si>
  <si>
    <t xml:space="preserve">Book/market value of debt </t>
  </si>
  <si>
    <t xml:space="preserve">Weight - equity </t>
  </si>
  <si>
    <t xml:space="preserve">Weight -debt  </t>
  </si>
  <si>
    <t xml:space="preserve">Cost of capital </t>
  </si>
  <si>
    <t xml:space="preserve">Real economic growth </t>
  </si>
  <si>
    <t xml:space="preserve">Inflation expected </t>
  </si>
  <si>
    <t xml:space="preserve">Terminal growth rate </t>
  </si>
  <si>
    <t xml:space="preserve">Stock return </t>
  </si>
  <si>
    <t xml:space="preserve">Capital expenditure will be 10000000 taka each year. Financed by long-term loan, paid by end of third year @ 12% interest rate </t>
  </si>
  <si>
    <t>EBIT</t>
  </si>
  <si>
    <t xml:space="preserve">EBIT (1-tc) </t>
  </si>
  <si>
    <t xml:space="preserve">Plus: Depreciation </t>
  </si>
  <si>
    <t xml:space="preserve">Less: Capital investment </t>
  </si>
  <si>
    <t>Less: Change in WC</t>
  </si>
  <si>
    <t xml:space="preserve">FCF </t>
  </si>
  <si>
    <t xml:space="preserve">Year </t>
  </si>
  <si>
    <t xml:space="preserve">PV of discount factor </t>
  </si>
  <si>
    <t xml:space="preserve">PV of FCF </t>
  </si>
  <si>
    <t xml:space="preserve">Summation of PV of FCF </t>
  </si>
  <si>
    <t xml:space="preserve">Continuing value </t>
  </si>
  <si>
    <t xml:space="preserve">PV of terminal value </t>
  </si>
  <si>
    <t xml:space="preserve">Less: Interest bearing debt </t>
  </si>
  <si>
    <t xml:space="preserve">Number of shares outstanding </t>
  </si>
  <si>
    <t xml:space="preserve">Time 0 </t>
  </si>
  <si>
    <t xml:space="preserve">Projected Year 1 </t>
  </si>
  <si>
    <t>Projected Year 2</t>
  </si>
  <si>
    <t>Projected Year 3</t>
  </si>
  <si>
    <t>Dividend</t>
  </si>
  <si>
    <t>PV of dividend</t>
  </si>
  <si>
    <t>Summation of PV of dividend</t>
  </si>
  <si>
    <t>SGR</t>
  </si>
  <si>
    <t>COGS/Sales</t>
  </si>
  <si>
    <t>OE/sales</t>
  </si>
  <si>
    <t xml:space="preserve">Investment - GR </t>
  </si>
  <si>
    <t>ROI - return on investment</t>
  </si>
  <si>
    <t>Short-term loan/sales</t>
  </si>
  <si>
    <t>Current portion of LTD/LTD</t>
  </si>
  <si>
    <t>Tax rate</t>
  </si>
  <si>
    <t>DPR</t>
  </si>
  <si>
    <t>Average PPE</t>
  </si>
  <si>
    <t>Depreciation rate</t>
  </si>
  <si>
    <t>Inventory/Sales</t>
  </si>
  <si>
    <t>Accounts receivable/sales</t>
  </si>
  <si>
    <t xml:space="preserve">Advance and prepayment/sales </t>
  </si>
  <si>
    <t xml:space="preserve">Accounts payable/sales </t>
  </si>
  <si>
    <t xml:space="preserve">Accrued expenses/sales </t>
  </si>
  <si>
    <t>Other liabilities/sales</t>
  </si>
  <si>
    <t>Enterprise value</t>
  </si>
  <si>
    <t>Average -2011</t>
  </si>
  <si>
    <t xml:space="preserve">Non-cash current asset </t>
  </si>
  <si>
    <t xml:space="preserve">Non-STD current liabilities </t>
  </si>
  <si>
    <t xml:space="preserve">Working cash </t>
  </si>
  <si>
    <t xml:space="preserve">Change in working cash </t>
  </si>
  <si>
    <t xml:space="preserve">Plus: Cash &amp; Marketable securities </t>
  </si>
  <si>
    <t xml:space="preserve">Remarks </t>
  </si>
  <si>
    <t>Sales growth rate = ( Year 2's sales - Year 1's sales)/ Year 1's sale; for averaging write AVERAGE command and select the designed cells.</t>
  </si>
  <si>
    <t>For calculating this ratio divide annual COGS by sales numbers; for averaging write AVERAGE command and select the designed cells.</t>
  </si>
  <si>
    <t>For calculating this ratio divide annual operating expense by sales numbers; for averaging write AVERAGE command and select the designed cells.</t>
  </si>
  <si>
    <t>Investment growth rate = (Year 2's investment - year 1's investment)/ Year 1's investment; for averaging write AVERAGE command and select the designed cells.</t>
  </si>
  <si>
    <t>For calculating this ratio divide annual tax expense by EBT-earnings before tax numbers; for averaging write AVERAGE command and select the designed cells.</t>
  </si>
  <si>
    <t>For calculating this ratio divide annual inventory by net income numbers; for averaging write AVERAGE command and select the designed cells.</t>
  </si>
  <si>
    <t>For calculating this ratio divide annual accounts receivable by net income numbers; for averaging write AVERAGE command and select the designed cells.</t>
  </si>
  <si>
    <t>For calculating this ratio divide annual advance &amp; prepayment by net income numbers; for averaging write AVERAGE command and select the designed cells.</t>
  </si>
  <si>
    <t>For calculating this ratio divide annual accounts payable by net income numbers; for averaging write AVERAGE command and select the designed cells.</t>
  </si>
  <si>
    <t>For calculating this ratio divide annual accrued expenses by net income numbers; for averaging write AVERAGE command and select the designed cells.</t>
  </si>
  <si>
    <t>For calculating this ratio divide annual other liabilities by net income numbers; for averaging write AVERAGE command and select the designed cells.</t>
  </si>
  <si>
    <t>For calculating this ratio divide annual short-term loan numbers by net income numbers; for averaging write AVERAGE command and select the designed cells.</t>
  </si>
  <si>
    <t>For calculating this ratio divide annual interest income by investmemt numbers; for averaging write AVERAGE command and select the designed cells.</t>
  </si>
  <si>
    <t>For calculating this ratio divide current portion of long-term loan by long-term loan; for averaging write AVERAGE command and select the designed cells.</t>
  </si>
  <si>
    <t xml:space="preserve">Calculation </t>
  </si>
  <si>
    <t>Look out for industry, company based qualitative data</t>
  </si>
  <si>
    <t xml:space="preserve">Read the corporate tax laws properly. </t>
  </si>
  <si>
    <t xml:space="preserve">Do not forget the stylized facts and dividend payout policy. </t>
  </si>
  <si>
    <t xml:space="preserve">STD finances the working capital budget </t>
  </si>
  <si>
    <t>For calculating this ratio divide annual depreciation by average PPE; for averaging write AVERAGE command and select the designed cells.</t>
  </si>
  <si>
    <t>Average PPE = (1st year's PPE+2nd Year's PPE)/2</t>
  </si>
  <si>
    <t xml:space="preserve">Capital budgeting &amp; capital structure policy are interlinked. </t>
  </si>
  <si>
    <t xml:space="preserve">Do not use such conditions like: ROI is higher than cost of borrowing. </t>
  </si>
  <si>
    <t>Avoid the outliers</t>
  </si>
  <si>
    <t xml:space="preserve">Go for the loan payout installment guidelines. </t>
  </si>
  <si>
    <t xml:space="preserve">Do not forget the flow-based &amp; stock-based measurement principles, companies charge different rates on different assets. </t>
  </si>
  <si>
    <t xml:space="preserve">Avoid the outliers, be cautious wherever the historical proportion is breached. </t>
  </si>
  <si>
    <t xml:space="preserve">Go to the notes to understand how this other liabilities are composed of </t>
  </si>
  <si>
    <t>Depreciation = Last year's depreciation+ capital expenditure*depreciation rate</t>
  </si>
  <si>
    <t>For calculating this ratio divide annual dividend by net income; for averaging write AVERAGE command and select the designed cells.</t>
  </si>
  <si>
    <t>Formula = Weight of equity * cost of equity + weight of debt* cost of debt*(1-corporate tax rate)</t>
  </si>
  <si>
    <t>Formula = Book/market value of debt/ enterprise value</t>
  </si>
  <si>
    <t>Formula = Market value of equity/ enterprise value</t>
  </si>
  <si>
    <t xml:space="preserve">Formula = Market price * number of shares </t>
  </si>
  <si>
    <t xml:space="preserve">Remarks - With stock options, stock splits, bonuses - number of stocks outstanding can increase. </t>
  </si>
  <si>
    <t xml:space="preserve">Stock return = (Cash dividend+ (Current month's price * bonus adjustment - Last month's price))/ Last month's price </t>
  </si>
  <si>
    <t>Remarks: T-bill rate with the lowest maturity</t>
  </si>
  <si>
    <t xml:space="preserve">Remark: Annualize it </t>
  </si>
  <si>
    <t xml:space="preserve">Cost of equity = Risk-free rate+ (Market return-risk-free rate)*beta </t>
  </si>
  <si>
    <t>Remark: Write COVAR and select the stock return &amp; market return column</t>
  </si>
  <si>
    <t>Remark: Write VAR and select the market return column</t>
  </si>
  <si>
    <t>Formula - COVAR/VAR</t>
  </si>
  <si>
    <t>It helps to understand the long-term value of beta. Formula = .67*beta +.33*1</t>
  </si>
  <si>
    <t>Bonus information has a neutral value of 1</t>
  </si>
  <si>
    <t xml:space="preserve">Both cash &amp; bonus information are public information. </t>
  </si>
  <si>
    <t xml:space="preserve">Remarks: Total loan = Short-term loan+current portion of long-term loan+ Long-term loan. </t>
  </si>
  <si>
    <t>Formula: Interest rate = Annual interest expense/ average loan</t>
  </si>
  <si>
    <t>Remarks: Averaging is important to solve the clash between stock and flow principles of measurement,; Average loan =(1st year's total loan+ 2nd year's loan)/2</t>
  </si>
  <si>
    <t xml:space="preserve">Capital bugeting is a managerial decision; do consult with them </t>
  </si>
  <si>
    <t>Formula &amp; Remarks</t>
  </si>
  <si>
    <t xml:space="preserve">Assumed no new issuance of shares. </t>
  </si>
  <si>
    <t xml:space="preserve">Capital structure is a managerial decision; do consult with them </t>
  </si>
  <si>
    <t>Formula: Current year's sale* average inventory/sales ratio</t>
  </si>
  <si>
    <t>Formula: Current year's sale* average accounts receivables/sales ratio</t>
  </si>
  <si>
    <t>Formula: Current year's sale* average advance &amp; prepayment/sales ratio</t>
  </si>
  <si>
    <t xml:space="preserve">Injected to balance the balance sheet </t>
  </si>
  <si>
    <t>Formula: Current year's sale* average STD/sales ratio</t>
  </si>
  <si>
    <t>Formula: Current year's LTD* average Current portion of LTD/LTD ratio</t>
  </si>
  <si>
    <t>Formula: Current year's sale* average accrued expenses/sales ratio</t>
  </si>
  <si>
    <t>Formula: Current year's sale* average other liabilities/sales ratio</t>
  </si>
  <si>
    <t>Formula: Non-cash current asset = Inventory+A/R+Advance &amp; prepayment</t>
  </si>
  <si>
    <t>Formula: Non-STD current liabilities =Current portion of LTD+A/P+Accrued expenses+other liabilities</t>
  </si>
  <si>
    <t>Formula: Working cash = Non-cash current asset - Non-STD current liabilities</t>
  </si>
  <si>
    <t xml:space="preserve">Formula: Change in working cash = Year 2's working cash - Year 1's working cash </t>
  </si>
  <si>
    <t xml:space="preserve">Current year's sales = Last year's sales *(1+ average SGR) </t>
  </si>
  <si>
    <t>Formula: Current year's sale* average COGS/sales ratio</t>
  </si>
  <si>
    <t>Formula: Current year's sale* average operating expense/sales ratio</t>
  </si>
  <si>
    <t xml:space="preserve">It is just a substracted result. </t>
  </si>
  <si>
    <t>Formula: Current year's investment* average ROI</t>
  </si>
  <si>
    <t xml:space="preserve">Formula: Current year's average loan* average interest rate </t>
  </si>
  <si>
    <t>Formula: Current year's earning's before tax* average tax rate</t>
  </si>
  <si>
    <t xml:space="preserve">Formula: Current year's net income* average dividend payout ratio </t>
  </si>
  <si>
    <t xml:space="preserve">Formula = Current year's net income - current year's dividend </t>
  </si>
  <si>
    <t>Formula = Last year's Reserve + Current year's transfer to reserve</t>
  </si>
  <si>
    <t>For averaging write AVERAGE command and select the designed cells.</t>
  </si>
  <si>
    <t xml:space="preserve">Calculated based on normalized investment growth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</si>
</sst>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"/>
    <numFmt numFmtId="165" formatCode="dd/mm/\ yyyy"/>
    <numFmt numFmtId="166" formatCode="0.0%"/>
    <numFmt numFmtId="167" formatCode="_(* #,##0_);_(* \(#,##0\);_(* &quot;-&quot;??_);_(@_)"/>
  </numFmts>
  <fonts count="2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10"/>
      <name val="Comic Sans MS"/>
      <family val="4"/>
    </font>
    <font>
      <b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9"/>
      <name val="Arial"/>
    </font>
    <font>
      <sz val="9"/>
      <name val="Arial"/>
    </font>
    <font>
      <b/>
      <sz val="9"/>
      <name val="Times New Roman"/>
    </font>
    <font>
      <b/>
      <sz val="9"/>
      <color rgb="FF0070C0"/>
      <name val="Times New Roman"/>
    </font>
    <font>
      <sz val="9"/>
      <name val="Times New Roman"/>
    </font>
    <font>
      <sz val="10"/>
      <color rgb="FF00B0F0"/>
      <name val="Arial"/>
      <family val="2"/>
    </font>
    <font>
      <sz val="9"/>
      <color rgb="FFFF000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color rgb="FFFF0000"/>
      <name val="Times New Roman"/>
      <family val="1"/>
    </font>
    <font>
      <sz val="10"/>
      <color rgb="FFFF0000"/>
      <name val="Arial"/>
      <family val="2"/>
    </font>
    <font>
      <sz val="9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43" fontId="7" fillId="0" borderId="2" xfId="1" applyFont="1" applyBorder="1" applyAlignment="1"/>
    <xf numFmtId="43" fontId="7" fillId="0" borderId="2" xfId="1" applyFont="1" applyFill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/>
    <xf numFmtId="0" fontId="0" fillId="0" borderId="0" xfId="0" applyAlignment="1"/>
    <xf numFmtId="0" fontId="9" fillId="0" borderId="2" xfId="0" applyFont="1" applyBorder="1" applyAlignment="1"/>
    <xf numFmtId="0" fontId="0" fillId="0" borderId="2" xfId="0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2" xfId="0" applyFont="1" applyBorder="1"/>
    <xf numFmtId="0" fontId="0" fillId="0" borderId="3" xfId="0" applyBorder="1"/>
    <xf numFmtId="0" fontId="5" fillId="0" borderId="3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0" fillId="0" borderId="2" xfId="0" applyNumberFormat="1" applyBorder="1"/>
    <xf numFmtId="166" fontId="0" fillId="0" borderId="2" xfId="2" applyNumberFormat="1" applyFont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/>
    <xf numFmtId="43" fontId="7" fillId="0" borderId="3" xfId="1" applyFont="1" applyFill="1" applyBorder="1" applyAlignment="1"/>
    <xf numFmtId="43" fontId="7" fillId="0" borderId="3" xfId="1" applyFont="1" applyBorder="1"/>
    <xf numFmtId="43" fontId="8" fillId="0" borderId="3" xfId="1" applyFont="1" applyBorder="1"/>
    <xf numFmtId="43" fontId="8" fillId="0" borderId="3" xfId="1" applyFont="1" applyBorder="1" applyAlignment="1"/>
    <xf numFmtId="43" fontId="7" fillId="0" borderId="3" xfId="1" applyFont="1" applyBorder="1" applyAlignment="1">
      <alignment horizontal="left"/>
    </xf>
    <xf numFmtId="43" fontId="7" fillId="0" borderId="3" xfId="1" applyFont="1" applyBorder="1" applyAlignment="1"/>
    <xf numFmtId="43" fontId="7" fillId="0" borderId="3" xfId="1" applyFont="1" applyBorder="1" applyAlignment="1">
      <alignment horizontal="right"/>
    </xf>
    <xf numFmtId="43" fontId="7" fillId="0" borderId="3" xfId="1" applyFont="1" applyFill="1" applyBorder="1"/>
    <xf numFmtId="43" fontId="7" fillId="2" borderId="3" xfId="1" applyFont="1" applyFill="1" applyBorder="1"/>
    <xf numFmtId="43" fontId="7" fillId="0" borderId="3" xfId="1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43" fontId="7" fillId="0" borderId="2" xfId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43" fontId="5" fillId="0" borderId="2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right"/>
    </xf>
    <xf numFmtId="43" fontId="7" fillId="0" borderId="2" xfId="0" applyNumberFormat="1" applyFont="1" applyFill="1" applyBorder="1" applyAlignment="1">
      <alignment horizontal="right"/>
    </xf>
    <xf numFmtId="166" fontId="0" fillId="0" borderId="2" xfId="2" applyNumberFormat="1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10" fontId="0" fillId="0" borderId="2" xfId="2" applyNumberFormat="1" applyFont="1" applyBorder="1"/>
    <xf numFmtId="10" fontId="0" fillId="0" borderId="2" xfId="2" applyNumberFormat="1" applyFont="1" applyBorder="1" applyAlignment="1">
      <alignment horizontal="center"/>
    </xf>
    <xf numFmtId="0" fontId="0" fillId="0" borderId="2" xfId="0" applyFont="1" applyBorder="1" applyAlignment="1"/>
    <xf numFmtId="43" fontId="0" fillId="0" borderId="2" xfId="0" applyNumberForma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7" fillId="0" borderId="2" xfId="1" applyNumberFormat="1" applyFont="1" applyFill="1" applyBorder="1" applyAlignment="1">
      <alignment horizontal="center"/>
    </xf>
    <xf numFmtId="43" fontId="7" fillId="0" borderId="2" xfId="1" applyFont="1" applyBorder="1" applyAlignment="1">
      <alignment horizontal="center"/>
    </xf>
    <xf numFmtId="0" fontId="8" fillId="0" borderId="2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2" xfId="0" applyNumberFormat="1" applyBorder="1" applyAlignment="1">
      <alignment horizontal="right"/>
    </xf>
    <xf numFmtId="166" fontId="0" fillId="0" borderId="2" xfId="2" applyNumberFormat="1" applyFon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6" fontId="18" fillId="0" borderId="2" xfId="2" applyNumberFormat="1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8" fillId="0" borderId="2" xfId="2" applyNumberFormat="1" applyFont="1" applyBorder="1" applyAlignment="1">
      <alignment horizontal="center"/>
    </xf>
    <xf numFmtId="1" fontId="0" fillId="0" borderId="2" xfId="0" applyNumberFormat="1" applyBorder="1"/>
    <xf numFmtId="0" fontId="0" fillId="0" borderId="5" xfId="0" applyBorder="1" applyAlignment="1">
      <alignment horizontal="center"/>
    </xf>
    <xf numFmtId="9" fontId="0" fillId="0" borderId="5" xfId="2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6" fontId="20" fillId="0" borderId="2" xfId="2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66" fontId="21" fillId="0" borderId="2" xfId="2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left"/>
    </xf>
    <xf numFmtId="0" fontId="5" fillId="0" borderId="2" xfId="0" applyFont="1" applyBorder="1"/>
    <xf numFmtId="166" fontId="23" fillId="0" borderId="2" xfId="2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0" xfId="0" applyFont="1"/>
    <xf numFmtId="1" fontId="19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0" fontId="24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</cellXfs>
  <cellStyles count="65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" sqref="B2:F2"/>
    </sheetView>
  </sheetViews>
  <sheetFormatPr baseColWidth="10" defaultColWidth="8.83203125" defaultRowHeight="12" x14ac:dyDescent="0"/>
  <cols>
    <col min="1" max="1" width="24" customWidth="1"/>
    <col min="2" max="2" width="11.1640625" customWidth="1"/>
    <col min="3" max="3" width="10.83203125" customWidth="1"/>
    <col min="4" max="4" width="10.6640625" customWidth="1"/>
    <col min="5" max="6" width="11.5" customWidth="1"/>
  </cols>
  <sheetData>
    <row r="1" spans="1:6">
      <c r="A1" s="1" t="s">
        <v>0</v>
      </c>
      <c r="B1" s="1">
        <v>2006</v>
      </c>
      <c r="C1" s="1">
        <v>2007</v>
      </c>
      <c r="D1" s="1">
        <v>2008</v>
      </c>
      <c r="E1" s="1">
        <v>2009</v>
      </c>
      <c r="F1" s="1">
        <v>2010</v>
      </c>
    </row>
    <row r="2" spans="1:6">
      <c r="A2" t="s">
        <v>1</v>
      </c>
      <c r="B2">
        <v>317293796</v>
      </c>
      <c r="C2">
        <v>351224428</v>
      </c>
      <c r="D2">
        <v>537971989</v>
      </c>
      <c r="E2">
        <v>615330715</v>
      </c>
      <c r="F2">
        <v>622571342</v>
      </c>
    </row>
    <row r="3" spans="1:6">
      <c r="A3" s="5" t="s">
        <v>2</v>
      </c>
      <c r="B3" s="5">
        <v>239488002</v>
      </c>
      <c r="C3" s="5">
        <v>269673407</v>
      </c>
      <c r="D3" s="5">
        <v>429824201</v>
      </c>
      <c r="E3" s="5">
        <v>502808649</v>
      </c>
      <c r="F3" s="5">
        <v>476340355</v>
      </c>
    </row>
    <row r="4" spans="1:6">
      <c r="A4" s="5" t="s">
        <v>3</v>
      </c>
      <c r="B4" s="5">
        <f>B2-B3</f>
        <v>77805794</v>
      </c>
      <c r="C4" s="5">
        <f>C2-C3</f>
        <v>81551021</v>
      </c>
      <c r="D4" s="5">
        <f>D2-D3</f>
        <v>108147788</v>
      </c>
      <c r="E4" s="5">
        <f>E2-E3</f>
        <v>112522066</v>
      </c>
      <c r="F4" s="5">
        <f>F2-F3</f>
        <v>146230987</v>
      </c>
    </row>
    <row r="5" spans="1:6">
      <c r="A5" s="5" t="s">
        <v>4</v>
      </c>
      <c r="B5" s="5">
        <v>18532365</v>
      </c>
      <c r="C5" s="5">
        <v>19884118</v>
      </c>
      <c r="D5" s="5">
        <v>28009440</v>
      </c>
      <c r="E5" s="5">
        <v>29791885</v>
      </c>
      <c r="F5" s="5">
        <v>65098163</v>
      </c>
    </row>
    <row r="6" spans="1:6">
      <c r="A6" s="5" t="s">
        <v>5</v>
      </c>
      <c r="B6" s="5">
        <f>B4-B5</f>
        <v>59273429</v>
      </c>
      <c r="C6" s="5">
        <f>C4-C5</f>
        <v>61666903</v>
      </c>
      <c r="D6" s="5">
        <f>D4-D5</f>
        <v>80138348</v>
      </c>
      <c r="E6" s="5">
        <f>E4-E5</f>
        <v>82730181</v>
      </c>
      <c r="F6" s="5">
        <f>F4-F5</f>
        <v>81132824</v>
      </c>
    </row>
    <row r="7" spans="1:6">
      <c r="A7" s="5" t="s">
        <v>6</v>
      </c>
      <c r="B7" s="5">
        <v>27694060</v>
      </c>
      <c r="C7" s="5">
        <v>28819901</v>
      </c>
      <c r="D7" s="5">
        <v>25775099</v>
      </c>
      <c r="E7" s="5">
        <v>32743772</v>
      </c>
      <c r="F7" s="5">
        <v>32932263</v>
      </c>
    </row>
    <row r="8" spans="1:6">
      <c r="A8" s="5" t="s">
        <v>12</v>
      </c>
      <c r="B8" s="5">
        <v>33771620</v>
      </c>
      <c r="C8" s="5">
        <v>36931048</v>
      </c>
      <c r="D8" s="5">
        <v>34364473</v>
      </c>
      <c r="E8" s="5">
        <v>37467992</v>
      </c>
      <c r="F8" s="5">
        <v>32421857</v>
      </c>
    </row>
    <row r="9" spans="1:6">
      <c r="A9" s="5" t="s">
        <v>7</v>
      </c>
      <c r="B9" s="5">
        <f>B6+B7-B8</f>
        <v>53195869</v>
      </c>
      <c r="C9" s="5">
        <f>C6+C7-C8</f>
        <v>53555756</v>
      </c>
      <c r="D9" s="5">
        <f>D6+D7-D8</f>
        <v>71548974</v>
      </c>
      <c r="E9" s="5">
        <f>E6+E7-E8</f>
        <v>78005961</v>
      </c>
      <c r="F9" s="5">
        <f>F6+F7-F8</f>
        <v>81643230</v>
      </c>
    </row>
    <row r="10" spans="1:6">
      <c r="A10" s="5" t="s">
        <v>8</v>
      </c>
      <c r="B10" s="5">
        <v>19065917</v>
      </c>
      <c r="C10" s="5">
        <v>18187710</v>
      </c>
      <c r="D10" s="5">
        <v>16229825</v>
      </c>
      <c r="E10" s="5">
        <v>19497071</v>
      </c>
      <c r="F10" s="5">
        <v>19893588</v>
      </c>
    </row>
    <row r="11" spans="1:6">
      <c r="A11" s="5" t="s">
        <v>9</v>
      </c>
      <c r="B11" s="5">
        <f>B9-B10</f>
        <v>34129952</v>
      </c>
      <c r="C11" s="5">
        <f>C9-C10</f>
        <v>35368046</v>
      </c>
      <c r="D11" s="5">
        <f>D9-D10</f>
        <v>55319149</v>
      </c>
      <c r="E11" s="5">
        <f>E9-E10</f>
        <v>58508890</v>
      </c>
      <c r="F11" s="5">
        <f>F9-F10</f>
        <v>61749642</v>
      </c>
    </row>
    <row r="12" spans="1:6">
      <c r="A12" s="5" t="s">
        <v>10</v>
      </c>
      <c r="B12" s="5">
        <v>19988456</v>
      </c>
      <c r="C12" s="5">
        <v>11079769</v>
      </c>
      <c r="D12" s="5">
        <v>20945349</v>
      </c>
      <c r="E12" s="5">
        <v>33572839</v>
      </c>
      <c r="F12" s="5">
        <v>34615086</v>
      </c>
    </row>
    <row r="13" spans="1:6">
      <c r="A13" s="5" t="s">
        <v>11</v>
      </c>
      <c r="B13" s="5">
        <f>B11-B12</f>
        <v>14141496</v>
      </c>
      <c r="C13" s="5">
        <f>C11-C12</f>
        <v>24288277</v>
      </c>
      <c r="D13" s="5">
        <f>D11-D12</f>
        <v>34373800</v>
      </c>
      <c r="E13" s="5">
        <f>E11-E12</f>
        <v>24936051</v>
      </c>
      <c r="F13" s="5">
        <f>F11-F12</f>
        <v>27134556</v>
      </c>
    </row>
    <row r="17" spans="1:6">
      <c r="A17" t="s">
        <v>36</v>
      </c>
      <c r="B17">
        <v>17820931</v>
      </c>
      <c r="C17">
        <v>17946604</v>
      </c>
      <c r="D17">
        <v>18439932</v>
      </c>
      <c r="E17">
        <v>18699685</v>
      </c>
      <c r="F17">
        <v>18842563</v>
      </c>
    </row>
    <row r="22" spans="1:6">
      <c r="F22" s="2"/>
    </row>
  </sheetData>
  <phoneticPr fontId="0" type="noConversion"/>
  <pageMargins left="0.75" right="0.75" top="1" bottom="1" header="0.5" footer="0.5"/>
  <pageSetup orientation="portrait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D18" sqref="D18"/>
    </sheetView>
  </sheetViews>
  <sheetFormatPr baseColWidth="10" defaultColWidth="8.83203125" defaultRowHeight="12" x14ac:dyDescent="0"/>
  <cols>
    <col min="1" max="1" width="27.5" customWidth="1"/>
    <col min="2" max="2" width="10.1640625" bestFit="1" customWidth="1"/>
    <col min="3" max="4" width="10" bestFit="1" customWidth="1"/>
    <col min="5" max="6" width="13.6640625" customWidth="1"/>
  </cols>
  <sheetData>
    <row r="1" spans="1:6">
      <c r="A1" s="1" t="s">
        <v>13</v>
      </c>
      <c r="B1" s="1">
        <v>2006</v>
      </c>
      <c r="C1" s="1">
        <v>2007</v>
      </c>
      <c r="D1" s="1">
        <v>2008</v>
      </c>
      <c r="E1" s="1">
        <v>2009</v>
      </c>
      <c r="F1" s="1">
        <v>2010</v>
      </c>
    </row>
    <row r="2" spans="1:6">
      <c r="A2" t="s">
        <v>14</v>
      </c>
      <c r="B2">
        <v>150075514</v>
      </c>
      <c r="C2">
        <v>135067026</v>
      </c>
      <c r="D2">
        <v>123775188</v>
      </c>
      <c r="E2">
        <v>106946118</v>
      </c>
      <c r="F2">
        <v>102652877</v>
      </c>
    </row>
    <row r="3" spans="1:6">
      <c r="A3" t="s">
        <v>15</v>
      </c>
      <c r="B3">
        <v>35558575</v>
      </c>
      <c r="C3">
        <v>35390144</v>
      </c>
      <c r="D3">
        <v>40327312</v>
      </c>
      <c r="E3">
        <v>467718226</v>
      </c>
      <c r="F3">
        <v>843505287</v>
      </c>
    </row>
    <row r="4" spans="1:6">
      <c r="A4" s="1" t="s">
        <v>16</v>
      </c>
      <c r="B4" s="1">
        <f>B2+B3</f>
        <v>185634089</v>
      </c>
      <c r="C4" s="1">
        <f>C2+C3</f>
        <v>170457170</v>
      </c>
      <c r="D4" s="1">
        <f>D2+D3</f>
        <v>164102500</v>
      </c>
      <c r="E4" s="1">
        <f>E2+E3</f>
        <v>574664344</v>
      </c>
      <c r="F4" s="1">
        <f>F2+F3</f>
        <v>946158164</v>
      </c>
    </row>
    <row r="5" spans="1:6">
      <c r="A5" t="s">
        <v>17</v>
      </c>
      <c r="B5">
        <v>62024184</v>
      </c>
      <c r="C5">
        <v>65542150</v>
      </c>
      <c r="D5">
        <v>93553486</v>
      </c>
      <c r="E5">
        <v>127990769</v>
      </c>
      <c r="F5">
        <v>128611091</v>
      </c>
    </row>
    <row r="6" spans="1:6">
      <c r="A6" t="s">
        <v>18</v>
      </c>
      <c r="B6">
        <v>234984480</v>
      </c>
      <c r="C6">
        <v>225362699</v>
      </c>
      <c r="D6">
        <v>278058033</v>
      </c>
      <c r="E6">
        <v>253086921</v>
      </c>
      <c r="F6">
        <v>236000082</v>
      </c>
    </row>
    <row r="7" spans="1:6">
      <c r="A7" t="s">
        <v>19</v>
      </c>
      <c r="B7">
        <v>3505365</v>
      </c>
      <c r="C7">
        <v>4324501</v>
      </c>
      <c r="D7">
        <v>4985502</v>
      </c>
      <c r="E7">
        <v>4999566</v>
      </c>
      <c r="F7">
        <v>8971248</v>
      </c>
    </row>
    <row r="8" spans="1:6">
      <c r="A8" t="s">
        <v>20</v>
      </c>
      <c r="B8">
        <v>153496680</v>
      </c>
      <c r="C8">
        <v>120274617</v>
      </c>
      <c r="D8">
        <v>171707263</v>
      </c>
      <c r="E8">
        <v>115683058</v>
      </c>
      <c r="F8">
        <v>205814738</v>
      </c>
    </row>
    <row r="9" spans="1:6">
      <c r="A9" s="1" t="s">
        <v>21</v>
      </c>
      <c r="B9" s="1">
        <f>B5+B6+B7+B8</f>
        <v>454010709</v>
      </c>
      <c r="C9" s="1">
        <f>C5+C6+C7+C8</f>
        <v>415503967</v>
      </c>
      <c r="D9" s="1">
        <f>D5+D6+D7+D8</f>
        <v>548304284</v>
      </c>
      <c r="E9" s="1">
        <f>E5+E6+E7+E8</f>
        <v>501760314</v>
      </c>
      <c r="F9" s="1">
        <f>F5+F6+F7+F8</f>
        <v>579397159</v>
      </c>
    </row>
    <row r="10" spans="1:6">
      <c r="A10" s="1" t="s">
        <v>22</v>
      </c>
      <c r="B10" s="1">
        <f>B9+B4</f>
        <v>639644798</v>
      </c>
      <c r="C10" s="1">
        <f>C9+C4</f>
        <v>585961137</v>
      </c>
      <c r="D10" s="1">
        <f>D9+D4</f>
        <v>712406784</v>
      </c>
      <c r="E10" s="1">
        <f>E9+E4</f>
        <v>1076424658</v>
      </c>
      <c r="F10" s="1">
        <f>F9+F4</f>
        <v>1525555323</v>
      </c>
    </row>
    <row r="12" spans="1:6">
      <c r="A12" t="s">
        <v>23</v>
      </c>
      <c r="B12">
        <v>72081600</v>
      </c>
      <c r="C12">
        <v>72081600</v>
      </c>
      <c r="D12">
        <v>72081600</v>
      </c>
      <c r="E12">
        <v>72081600</v>
      </c>
      <c r="F12">
        <v>72081600</v>
      </c>
    </row>
    <row r="13" spans="1:6">
      <c r="A13" t="s">
        <v>24</v>
      </c>
      <c r="B13">
        <v>153023475</v>
      </c>
      <c r="C13">
        <v>166797041</v>
      </c>
      <c r="D13">
        <v>200461710</v>
      </c>
      <c r="E13">
        <v>660851274</v>
      </c>
      <c r="F13">
        <v>1048657244</v>
      </c>
    </row>
    <row r="14" spans="1:6">
      <c r="A14" s="1" t="s">
        <v>25</v>
      </c>
      <c r="B14" s="1">
        <f>B12+B13</f>
        <v>225105075</v>
      </c>
      <c r="C14" s="1">
        <f>C12+C13</f>
        <v>238878641</v>
      </c>
      <c r="D14" s="1">
        <f>D12+D13</f>
        <v>272543310</v>
      </c>
      <c r="E14" s="1">
        <f>E12+E13</f>
        <v>732932874</v>
      </c>
      <c r="F14" s="1">
        <f>F12+F13</f>
        <v>1120738844</v>
      </c>
    </row>
    <row r="15" spans="1:6">
      <c r="A15" t="s">
        <v>26</v>
      </c>
      <c r="B15">
        <v>57490929</v>
      </c>
      <c r="C15">
        <v>49337929</v>
      </c>
      <c r="D15">
        <v>45052560</v>
      </c>
      <c r="E15">
        <v>77908202</v>
      </c>
      <c r="F15">
        <v>80547283</v>
      </c>
    </row>
    <row r="16" spans="1:6">
      <c r="A16" s="1" t="s">
        <v>27</v>
      </c>
      <c r="B16" s="1">
        <f>SUM(B15:B15)</f>
        <v>57490929</v>
      </c>
      <c r="C16" s="1">
        <f>SUM(C15:C15)</f>
        <v>49337929</v>
      </c>
      <c r="D16" s="1">
        <f>SUM(D15:D15)</f>
        <v>45052560</v>
      </c>
      <c r="E16" s="1">
        <f>SUM(E15:E15)</f>
        <v>77908202</v>
      </c>
      <c r="F16" s="1">
        <f>SUM(F15:F15)</f>
        <v>80547283</v>
      </c>
    </row>
    <row r="17" spans="1:6">
      <c r="A17" t="s">
        <v>28</v>
      </c>
      <c r="B17">
        <v>228024446</v>
      </c>
      <c r="C17">
        <v>168930625</v>
      </c>
      <c r="D17">
        <v>240334940</v>
      </c>
      <c r="E17">
        <v>92323508</v>
      </c>
      <c r="F17">
        <v>147858218</v>
      </c>
    </row>
    <row r="18" spans="1:6">
      <c r="A18" t="s">
        <v>29</v>
      </c>
      <c r="B18">
        <v>9568000</v>
      </c>
      <c r="C18">
        <v>0</v>
      </c>
      <c r="D18">
        <v>0</v>
      </c>
      <c r="E18">
        <v>12500000</v>
      </c>
      <c r="F18">
        <v>14509444</v>
      </c>
    </row>
    <row r="19" spans="1:6">
      <c r="A19" t="s">
        <v>30</v>
      </c>
      <c r="B19">
        <v>22635360</v>
      </c>
      <c r="C19">
        <v>14593642</v>
      </c>
      <c r="D19">
        <v>33103035</v>
      </c>
      <c r="E19">
        <v>60957763</v>
      </c>
      <c r="F19">
        <v>39397112</v>
      </c>
    </row>
    <row r="20" spans="1:6">
      <c r="A20" t="s">
        <v>31</v>
      </c>
      <c r="B20">
        <v>4546952</v>
      </c>
      <c r="C20">
        <v>5632690</v>
      </c>
      <c r="D20">
        <v>7180202</v>
      </c>
      <c r="E20">
        <v>7455857</v>
      </c>
      <c r="F20">
        <v>6737950</v>
      </c>
    </row>
    <row r="21" spans="1:6">
      <c r="A21" t="s">
        <v>32</v>
      </c>
      <c r="B21">
        <v>92274036</v>
      </c>
      <c r="C21">
        <v>108587610</v>
      </c>
      <c r="D21">
        <v>114192737</v>
      </c>
      <c r="E21">
        <v>92346454</v>
      </c>
      <c r="F21">
        <v>115766472</v>
      </c>
    </row>
    <row r="22" spans="1:6">
      <c r="A22" s="1" t="s">
        <v>33</v>
      </c>
      <c r="B22" s="1">
        <f>SUM(B17:B21)</f>
        <v>357048794</v>
      </c>
      <c r="C22" s="1">
        <f>SUM(C17:C21)</f>
        <v>297744567</v>
      </c>
      <c r="D22" s="1">
        <f>SUM(D17:D21)</f>
        <v>394810914</v>
      </c>
      <c r="E22" s="1">
        <f>SUM(E17:E21)</f>
        <v>265583582</v>
      </c>
      <c r="F22" s="1">
        <f>SUM(F17:F21)</f>
        <v>324269196</v>
      </c>
    </row>
    <row r="23" spans="1:6">
      <c r="A23" s="1" t="s">
        <v>34</v>
      </c>
      <c r="B23" s="1">
        <f>B22+B16</f>
        <v>414539723</v>
      </c>
      <c r="C23" s="1">
        <f>C22+C16</f>
        <v>347082496</v>
      </c>
      <c r="D23" s="1">
        <f>D22+D16</f>
        <v>439863474</v>
      </c>
      <c r="E23" s="1">
        <f>E22+E16</f>
        <v>343491784</v>
      </c>
      <c r="F23" s="1">
        <f>F22+F16</f>
        <v>404816479</v>
      </c>
    </row>
    <row r="24" spans="1:6">
      <c r="A24" s="1" t="s">
        <v>35</v>
      </c>
      <c r="B24" s="1">
        <f>B23+B14</f>
        <v>639644798</v>
      </c>
      <c r="C24" s="1">
        <f>C23+C14</f>
        <v>585961137</v>
      </c>
      <c r="D24" s="1">
        <f>D23+D14</f>
        <v>712406784</v>
      </c>
      <c r="E24" s="1">
        <f>E23+E14</f>
        <v>1076424658</v>
      </c>
      <c r="F24" s="1">
        <f>F23+F14</f>
        <v>1525555323</v>
      </c>
    </row>
    <row r="27" spans="1:6">
      <c r="B27">
        <f>B24-B10</f>
        <v>0</v>
      </c>
      <c r="C27">
        <f>C24-C10</f>
        <v>0</v>
      </c>
      <c r="D27">
        <f>D24-D10</f>
        <v>0</v>
      </c>
      <c r="E27">
        <f>E24-E10</f>
        <v>0</v>
      </c>
      <c r="F27">
        <f>F24-F10</f>
        <v>0</v>
      </c>
    </row>
    <row r="29" spans="1:6">
      <c r="A29" t="s">
        <v>47</v>
      </c>
      <c r="F29">
        <v>720816</v>
      </c>
    </row>
    <row r="32" spans="1:6">
      <c r="A32" t="s">
        <v>62</v>
      </c>
      <c r="B32" s="10" t="s">
        <v>83</v>
      </c>
      <c r="C32" s="10"/>
      <c r="D32" s="10"/>
      <c r="E32" s="10"/>
      <c r="F32" s="10"/>
    </row>
  </sheetData>
  <phoneticPr fontId="0" type="noConversion"/>
  <pageMargins left="0.75" right="0.75" top="1" bottom="1" header="0.5" footer="0.5"/>
  <pageSetup orientation="portrait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G17" sqref="G17"/>
    </sheetView>
  </sheetViews>
  <sheetFormatPr baseColWidth="10" defaultColWidth="11.5" defaultRowHeight="12" x14ac:dyDescent="0"/>
  <cols>
    <col min="1" max="1" width="22.1640625" customWidth="1"/>
    <col min="2" max="2" width="8.6640625" customWidth="1"/>
    <col min="3" max="3" width="11.5" customWidth="1"/>
    <col min="4" max="4" width="10.83203125" customWidth="1"/>
    <col min="5" max="5" width="11.83203125" customWidth="1"/>
    <col min="6" max="6" width="11.1640625" customWidth="1"/>
    <col min="7" max="7" width="12.33203125" customWidth="1"/>
    <col min="8" max="8" width="8.1640625" customWidth="1"/>
    <col min="9" max="9" width="11" customWidth="1"/>
    <col min="10" max="10" width="109" customWidth="1"/>
    <col min="11" max="11" width="59.33203125" customWidth="1"/>
  </cols>
  <sheetData>
    <row r="1" spans="1:14">
      <c r="A1" s="68" t="s">
        <v>0</v>
      </c>
      <c r="B1" s="68">
        <v>2006</v>
      </c>
      <c r="C1" s="68">
        <v>2007</v>
      </c>
      <c r="D1" s="68">
        <v>2008</v>
      </c>
      <c r="E1" s="68">
        <v>2009</v>
      </c>
      <c r="F1" s="68">
        <v>2010</v>
      </c>
      <c r="G1" s="68" t="s">
        <v>123</v>
      </c>
      <c r="H1" s="69">
        <v>2012</v>
      </c>
      <c r="I1" s="69">
        <v>2013</v>
      </c>
      <c r="J1" s="67" t="s">
        <v>144</v>
      </c>
      <c r="K1" s="14" t="s">
        <v>129</v>
      </c>
    </row>
    <row r="2" spans="1:14">
      <c r="A2" s="70" t="s">
        <v>105</v>
      </c>
      <c r="B2" s="71"/>
      <c r="C2" s="71">
        <f>('Income statement '!C2-'Income statement '!B2)/'Income statement '!B2</f>
        <v>0.10693758411841119</v>
      </c>
      <c r="D2" s="71">
        <f>('Income statement '!D2-'Income statement '!C2)/'Income statement '!C2</f>
        <v>0.53170436368395191</v>
      </c>
      <c r="E2" s="71">
        <f>('Income statement '!E2-'Income statement '!D2)/'Income statement '!D2</f>
        <v>0.14379694032731508</v>
      </c>
      <c r="F2" s="71">
        <f>('Income statement '!F2-'Income statement '!E2)/'Income statement '!E2</f>
        <v>1.176704952880501E-2</v>
      </c>
      <c r="G2" s="71">
        <f>AVERAGE(C2:F2)</f>
        <v>0.19855148441462078</v>
      </c>
      <c r="H2" s="72">
        <f>G2</f>
        <v>0.19855148441462078</v>
      </c>
      <c r="I2" s="72">
        <f>H2</f>
        <v>0.19855148441462078</v>
      </c>
      <c r="J2" s="78" t="s">
        <v>130</v>
      </c>
      <c r="K2" s="8" t="s">
        <v>145</v>
      </c>
    </row>
    <row r="3" spans="1:14">
      <c r="A3" s="70" t="s">
        <v>106</v>
      </c>
      <c r="B3" s="71">
        <f>'Income statement '!B3/'Income statement '!B2</f>
        <v>0.75478312220135557</v>
      </c>
      <c r="C3" s="71">
        <f>'Income statement '!C3/'Income statement '!C2</f>
        <v>0.76780937059423437</v>
      </c>
      <c r="D3" s="71">
        <f>'Income statement '!D3/'Income statement '!D2</f>
        <v>0.79897134012306359</v>
      </c>
      <c r="E3" s="71">
        <f>'Income statement '!E3/'Income statement '!E2</f>
        <v>0.81713562600235223</v>
      </c>
      <c r="F3" s="71">
        <f>'Income statement '!F3/'Income statement '!F2</f>
        <v>0.76511770276762914</v>
      </c>
      <c r="G3" s="71">
        <f>AVERAGE(B3:F3)</f>
        <v>0.78076343233772694</v>
      </c>
      <c r="H3" s="71">
        <f>G3</f>
        <v>0.78076343233772694</v>
      </c>
      <c r="I3" s="71">
        <f>H3</f>
        <v>0.78076343233772694</v>
      </c>
      <c r="J3" s="78" t="s">
        <v>131</v>
      </c>
      <c r="K3" s="8" t="s">
        <v>145</v>
      </c>
    </row>
    <row r="4" spans="1:14">
      <c r="A4" s="70" t="s">
        <v>107</v>
      </c>
      <c r="B4" s="71">
        <f>'Income statement '!B5/'Income statement '!B2</f>
        <v>5.8407587017553914E-2</v>
      </c>
      <c r="C4" s="71">
        <f>'Income statement '!C5/'Income statement '!C2</f>
        <v>5.6613710251383766E-2</v>
      </c>
      <c r="D4" s="71">
        <f>'Income statement '!D5/'Income statement '!D2</f>
        <v>5.2064866894027076E-2</v>
      </c>
      <c r="E4" s="71">
        <f>'Income statement '!E5/'Income statement '!E2</f>
        <v>4.841605379637192E-2</v>
      </c>
      <c r="F4" s="71">
        <f>'Income statement '!F5/'Income statement '!F2</f>
        <v>0.10456337869789066</v>
      </c>
      <c r="G4" s="71">
        <f>AVERAGE(B4:F4)</f>
        <v>6.4013119331445462E-2</v>
      </c>
      <c r="H4" s="72">
        <f t="shared" ref="H4:H8" si="0">G4</f>
        <v>6.4013119331445462E-2</v>
      </c>
      <c r="I4" s="72">
        <f t="shared" ref="I4:I8" si="1">H4</f>
        <v>6.4013119331445462E-2</v>
      </c>
      <c r="J4" s="78" t="s">
        <v>132</v>
      </c>
      <c r="K4" s="8" t="s">
        <v>145</v>
      </c>
    </row>
    <row r="5" spans="1:14">
      <c r="A5" s="82" t="s">
        <v>108</v>
      </c>
      <c r="B5" s="83"/>
      <c r="C5" s="83">
        <f>('Balance sheet '!C3-'Balance sheet '!B3)/'Balance sheet '!B3</f>
        <v>-4.7367196238881897E-3</v>
      </c>
      <c r="D5" s="83">
        <f>('Balance sheet '!D3-'Balance sheet '!C3)/'Balance sheet '!C3</f>
        <v>0.13950686383191885</v>
      </c>
      <c r="E5" s="90">
        <f>('Balance sheet '!E3-'Balance sheet '!D3)/'Balance sheet '!D3</f>
        <v>10.598051117317217</v>
      </c>
      <c r="F5" s="83">
        <f>('Balance sheet '!F3-'Balance sheet '!E3)/'Balance sheet '!E3</f>
        <v>0.80344754621557124</v>
      </c>
      <c r="G5" s="83">
        <f>(C5+D5)/2</f>
        <v>6.7385072104015328E-2</v>
      </c>
      <c r="H5" s="84">
        <f t="shared" si="0"/>
        <v>6.7385072104015328E-2</v>
      </c>
      <c r="I5" s="84">
        <f t="shared" si="1"/>
        <v>6.7385072104015328E-2</v>
      </c>
      <c r="J5" s="78" t="s">
        <v>133</v>
      </c>
      <c r="K5" s="8" t="s">
        <v>153</v>
      </c>
    </row>
    <row r="6" spans="1:14" s="5" customFormat="1">
      <c r="A6" s="85" t="s">
        <v>109</v>
      </c>
      <c r="B6" s="86">
        <f>'Income statement '!B7/'Balance sheet '!B3</f>
        <v>0.77882929785572119</v>
      </c>
      <c r="C6" s="86">
        <f>'Income statement '!C7/'Balance sheet '!C3</f>
        <v>0.81434822644406302</v>
      </c>
      <c r="D6" s="86">
        <f>'Income statement '!D7/'Balance sheet '!D3</f>
        <v>0.63914745917109472</v>
      </c>
      <c r="E6" s="86">
        <f>'Income statement '!E7/'Balance sheet '!E3</f>
        <v>7.0007474970624733E-2</v>
      </c>
      <c r="F6" s="86">
        <f>'Income statement '!F7/'Balance sheet '!F3</f>
        <v>3.9042153626714614E-2</v>
      </c>
      <c r="G6" s="86">
        <f>(E6+F6)/2</f>
        <v>5.4524814298669677E-2</v>
      </c>
      <c r="H6" s="87">
        <f t="shared" si="0"/>
        <v>5.4524814298669677E-2</v>
      </c>
      <c r="I6" s="87">
        <f t="shared" si="1"/>
        <v>5.4524814298669677E-2</v>
      </c>
      <c r="J6" s="88" t="s">
        <v>142</v>
      </c>
      <c r="K6" s="89" t="s">
        <v>152</v>
      </c>
    </row>
    <row r="7" spans="1:14">
      <c r="A7" s="70" t="s">
        <v>110</v>
      </c>
      <c r="B7" s="71">
        <f>'Balance sheet '!B17/'Income statement '!B2</f>
        <v>0.71865396952167326</v>
      </c>
      <c r="C7" s="71">
        <f>'Balance sheet '!C17/'Income statement '!C2</f>
        <v>0.48097629758258159</v>
      </c>
      <c r="D7" s="71">
        <f>'Balance sheet '!D17/'Income statement '!D2</f>
        <v>0.44674247900293562</v>
      </c>
      <c r="E7" s="71">
        <f>'Balance sheet '!E17/'Income statement '!E2</f>
        <v>0.15003884212085852</v>
      </c>
      <c r="F7" s="71">
        <f>'Balance sheet '!F17/'Income statement '!F2</f>
        <v>0.23749602338746906</v>
      </c>
      <c r="G7" s="71">
        <f>AVERAGE(B7:F7)</f>
        <v>0.40678152232310366</v>
      </c>
      <c r="H7" s="72">
        <f t="shared" si="0"/>
        <v>0.40678152232310366</v>
      </c>
      <c r="I7" s="72">
        <f t="shared" si="1"/>
        <v>0.40678152232310366</v>
      </c>
      <c r="J7" s="78" t="s">
        <v>141</v>
      </c>
      <c r="K7" s="8" t="s">
        <v>148</v>
      </c>
    </row>
    <row r="8" spans="1:14">
      <c r="A8" s="70" t="s">
        <v>111</v>
      </c>
      <c r="B8" s="71">
        <f>'Balance sheet '!B18/'Balance sheet '!B15</f>
        <v>0.16642625482708759</v>
      </c>
      <c r="C8" s="71"/>
      <c r="D8" s="71"/>
      <c r="E8" s="71">
        <f>'Balance sheet '!E18/'Balance sheet '!E15</f>
        <v>0.16044523784543249</v>
      </c>
      <c r="F8" s="71">
        <f>'Balance sheet '!F18/'Balance sheet '!F15</f>
        <v>0.18013573468393715</v>
      </c>
      <c r="G8" s="71">
        <f>(B8+E8+F8)/3</f>
        <v>0.16900240911881906</v>
      </c>
      <c r="H8" s="72">
        <f t="shared" si="0"/>
        <v>0.16900240911881906</v>
      </c>
      <c r="I8" s="72">
        <f t="shared" si="1"/>
        <v>0.16900240911881906</v>
      </c>
      <c r="J8" s="78" t="s">
        <v>143</v>
      </c>
      <c r="K8" s="8" t="s">
        <v>154</v>
      </c>
    </row>
    <row r="9" spans="1:14">
      <c r="A9" s="70" t="s">
        <v>112</v>
      </c>
      <c r="B9" s="71">
        <f>'Income statement '!B10/'Income statement '!B9</f>
        <v>0.35840972914644931</v>
      </c>
      <c r="C9" s="71">
        <f>'Income statement '!C10/'Income statement '!C9</f>
        <v>0.33960327252219163</v>
      </c>
      <c r="D9" s="71">
        <f>'Income statement '!D10/'Income statement '!D9</f>
        <v>0.22683518844029826</v>
      </c>
      <c r="E9" s="71">
        <f>'Income statement '!E10/'Income statement '!E9</f>
        <v>0.24994334727829326</v>
      </c>
      <c r="F9" s="71">
        <f>'Income statement '!F10/'Income statement '!F9</f>
        <v>0.24366488195040789</v>
      </c>
      <c r="G9" s="71">
        <f>AVERAGE(B9:F9)</f>
        <v>0.28369128386752807</v>
      </c>
      <c r="H9" s="71">
        <f t="shared" ref="H9:I9" si="2">AVERAGE(C9:G9)</f>
        <v>0.26874759481174382</v>
      </c>
      <c r="I9" s="71">
        <f t="shared" si="2"/>
        <v>0.25457645926965428</v>
      </c>
      <c r="J9" s="78" t="s">
        <v>134</v>
      </c>
      <c r="K9" s="8" t="s">
        <v>146</v>
      </c>
    </row>
    <row r="10" spans="1:14">
      <c r="A10" s="70" t="s">
        <v>113</v>
      </c>
      <c r="B10" s="71">
        <f>'Income statement '!B12/'Income statement '!B11</f>
        <v>0.58565731355262385</v>
      </c>
      <c r="C10" s="71">
        <f>'Income statement '!C12/'Income statement '!C11</f>
        <v>0.31327060024746634</v>
      </c>
      <c r="D10" s="71">
        <f>'Income statement '!D12/'Income statement '!D11</f>
        <v>0.37862746225542987</v>
      </c>
      <c r="E10" s="71">
        <f>'Income statement '!E12/'Income statement '!E11</f>
        <v>0.57380748464036835</v>
      </c>
      <c r="F10" s="71">
        <f>'Income statement '!F12/'Income statement '!F11</f>
        <v>0.56057144428464867</v>
      </c>
      <c r="G10" s="71">
        <f>AVERAGE(B10:F10)</f>
        <v>0.48238686099610739</v>
      </c>
      <c r="H10" s="71">
        <f t="shared" ref="H10:I10" si="3">AVERAGE(C10:G10)</f>
        <v>0.4617327704848041</v>
      </c>
      <c r="I10" s="71">
        <f t="shared" si="3"/>
        <v>0.49142520453227168</v>
      </c>
      <c r="J10" s="78" t="s">
        <v>159</v>
      </c>
      <c r="K10" s="8" t="s">
        <v>147</v>
      </c>
    </row>
    <row r="11" spans="1:14">
      <c r="A11" s="70" t="s">
        <v>114</v>
      </c>
      <c r="B11" s="70"/>
      <c r="C11" s="73">
        <f>('Balance sheet '!B2+'Balance sheet '!C2)/2</f>
        <v>142571270</v>
      </c>
      <c r="D11" s="73">
        <f>('Balance sheet '!C2+'Balance sheet '!D2)/2</f>
        <v>129421107</v>
      </c>
      <c r="E11" s="73">
        <f>('Balance sheet '!D2+'Balance sheet '!E2)/2</f>
        <v>115360653</v>
      </c>
      <c r="F11" s="73">
        <f>('Balance sheet '!E2+'Balance sheet '!F2)/2</f>
        <v>104799497.5</v>
      </c>
      <c r="G11" s="74"/>
      <c r="H11" s="70"/>
      <c r="I11" s="70"/>
      <c r="J11" s="78" t="s">
        <v>150</v>
      </c>
      <c r="K11" s="8" t="s">
        <v>151</v>
      </c>
    </row>
    <row r="12" spans="1:14">
      <c r="A12" s="92" t="s">
        <v>36</v>
      </c>
      <c r="B12" s="93">
        <v>17820931</v>
      </c>
      <c r="C12" s="93">
        <v>17946604</v>
      </c>
      <c r="D12" s="93">
        <v>18439932</v>
      </c>
      <c r="E12" s="93">
        <v>18699685</v>
      </c>
      <c r="F12" s="93">
        <v>18842563</v>
      </c>
      <c r="G12" s="74">
        <f>F12+(10000000*G13)</f>
        <v>20368193.331497025</v>
      </c>
      <c r="H12" s="74">
        <f t="shared" ref="H12:I12" si="4">G12+(10000000*H13)</f>
        <v>21893823.662994049</v>
      </c>
      <c r="I12" s="74">
        <f t="shared" si="4"/>
        <v>23419453.994491074</v>
      </c>
      <c r="J12" s="78" t="s">
        <v>158</v>
      </c>
      <c r="K12" s="79"/>
    </row>
    <row r="13" spans="1:14">
      <c r="A13" s="70" t="s">
        <v>115</v>
      </c>
      <c r="B13" s="71"/>
      <c r="C13" s="71">
        <f>C12/C11</f>
        <v>0.12587812397266293</v>
      </c>
      <c r="D13" s="71">
        <f t="shared" ref="D13:F13" si="5">D12/D11</f>
        <v>0.14248009793333014</v>
      </c>
      <c r="E13" s="71">
        <f t="shared" si="5"/>
        <v>0.16209760012367475</v>
      </c>
      <c r="F13" s="71">
        <f t="shared" si="5"/>
        <v>0.1797963105691418</v>
      </c>
      <c r="G13" s="71">
        <f t="shared" ref="G13" si="6">AVERAGE(C13:F13)</f>
        <v>0.1525630331497024</v>
      </c>
      <c r="H13" s="72">
        <f t="shared" ref="H13:I19" si="7">G13</f>
        <v>0.1525630331497024</v>
      </c>
      <c r="I13" s="72">
        <f t="shared" si="7"/>
        <v>0.1525630331497024</v>
      </c>
      <c r="J13" s="78" t="s">
        <v>149</v>
      </c>
      <c r="K13" s="97" t="s">
        <v>155</v>
      </c>
      <c r="L13" s="97"/>
      <c r="M13" s="97"/>
      <c r="N13" s="97"/>
    </row>
    <row r="14" spans="1:14">
      <c r="A14" s="70" t="s">
        <v>116</v>
      </c>
      <c r="B14" s="71">
        <f>'Balance sheet '!B5/'Income statement '!B2</f>
        <v>0.19547871651420504</v>
      </c>
      <c r="C14" s="71">
        <f>'Balance sheet '!C5/'Income statement '!C2</f>
        <v>0.18661045409973592</v>
      </c>
      <c r="D14" s="71">
        <f>'Balance sheet '!D5/'Income statement '!D2</f>
        <v>0.17390029204661805</v>
      </c>
      <c r="E14" s="71">
        <f>'Balance sheet '!E5/'Income statement '!E2</f>
        <v>0.20800321823687934</v>
      </c>
      <c r="F14" s="71">
        <f>'Balance sheet '!F5/'Income statement '!F2</f>
        <v>0.20658048696369324</v>
      </c>
      <c r="G14" s="71">
        <f>AVERAGE(B14:F14)</f>
        <v>0.19411463357222633</v>
      </c>
      <c r="H14" s="72">
        <f t="shared" si="7"/>
        <v>0.19411463357222633</v>
      </c>
      <c r="I14" s="72">
        <f t="shared" si="7"/>
        <v>0.19411463357222633</v>
      </c>
      <c r="J14" s="78" t="s">
        <v>135</v>
      </c>
      <c r="K14" s="27" t="s">
        <v>156</v>
      </c>
    </row>
    <row r="15" spans="1:14">
      <c r="A15" s="70" t="s">
        <v>117</v>
      </c>
      <c r="B15" s="71">
        <f>'Balance sheet '!B6/'Income statement '!B2</f>
        <v>0.74058958278528708</v>
      </c>
      <c r="C15" s="71">
        <f>'Balance sheet '!C6/'Income statement '!C2</f>
        <v>0.64164870388798811</v>
      </c>
      <c r="D15" s="71">
        <f>'Balance sheet '!D6/'Income statement '!D2</f>
        <v>0.51686340308695888</v>
      </c>
      <c r="E15" s="71">
        <f>'Balance sheet '!E6/'Income statement '!E2</f>
        <v>0.41130227181979695</v>
      </c>
      <c r="F15" s="71">
        <f>'Balance sheet '!F6/'Income statement '!F2</f>
        <v>0.37907315367561523</v>
      </c>
      <c r="G15" s="71">
        <f t="shared" ref="G15:G19" si="8">AVERAGE(B15:F15)</f>
        <v>0.53789542305112925</v>
      </c>
      <c r="H15" s="72">
        <f t="shared" si="7"/>
        <v>0.53789542305112925</v>
      </c>
      <c r="I15" s="72">
        <f t="shared" si="7"/>
        <v>0.53789542305112925</v>
      </c>
      <c r="J15" s="78" t="s">
        <v>136</v>
      </c>
      <c r="K15" s="8" t="s">
        <v>156</v>
      </c>
    </row>
    <row r="16" spans="1:14">
      <c r="A16" s="70" t="s">
        <v>118</v>
      </c>
      <c r="B16" s="71">
        <f>'Balance sheet '!B7/'Income statement '!B2</f>
        <v>1.1047694736521101E-2</v>
      </c>
      <c r="C16" s="71">
        <f>'Balance sheet '!C7/'Income statement '!C2</f>
        <v>1.2312643014682339E-2</v>
      </c>
      <c r="D16" s="71">
        <f>'Balance sheet '!D7/'Income statement '!D2</f>
        <v>9.2672148400648417E-3</v>
      </c>
      <c r="E16" s="71">
        <f>'Balance sheet '!E7/'Income statement '!E2</f>
        <v>8.1250064040765454E-3</v>
      </c>
      <c r="F16" s="71">
        <f>'Balance sheet '!F7/'Income statement '!F2</f>
        <v>1.4409991907401352E-2</v>
      </c>
      <c r="G16" s="71">
        <f t="shared" si="8"/>
        <v>1.1032510180549236E-2</v>
      </c>
      <c r="H16" s="72">
        <f t="shared" si="7"/>
        <v>1.1032510180549236E-2</v>
      </c>
      <c r="I16" s="72">
        <f t="shared" si="7"/>
        <v>1.1032510180549236E-2</v>
      </c>
      <c r="J16" s="78" t="s">
        <v>137</v>
      </c>
      <c r="K16" s="8" t="s">
        <v>156</v>
      </c>
    </row>
    <row r="17" spans="1:11">
      <c r="A17" s="70" t="s">
        <v>119</v>
      </c>
      <c r="B17" s="71">
        <f>'Balance sheet '!B19/'Income statement '!B2</f>
        <v>7.1338804241857914E-2</v>
      </c>
      <c r="C17" s="71">
        <f>'Balance sheet '!C19/'Income statement '!C2</f>
        <v>4.155076024495654E-2</v>
      </c>
      <c r="D17" s="71">
        <f>'Balance sheet '!D19/'Income statement '!D2</f>
        <v>6.1533008552235237E-2</v>
      </c>
      <c r="E17" s="71">
        <f>'Balance sheet '!E19/'Income statement '!E2</f>
        <v>9.9065041796263978E-2</v>
      </c>
      <c r="F17" s="71">
        <f>'Balance sheet '!F19/'Income statement '!F2</f>
        <v>6.3281280942738924E-2</v>
      </c>
      <c r="G17" s="71">
        <f t="shared" si="8"/>
        <v>6.7353779155610513E-2</v>
      </c>
      <c r="H17" s="72">
        <f t="shared" si="7"/>
        <v>6.7353779155610513E-2</v>
      </c>
      <c r="I17" s="72">
        <f t="shared" si="7"/>
        <v>6.7353779155610513E-2</v>
      </c>
      <c r="J17" s="78" t="s">
        <v>138</v>
      </c>
      <c r="K17" s="8" t="s">
        <v>156</v>
      </c>
    </row>
    <row r="18" spans="1:11">
      <c r="A18" s="70" t="s">
        <v>120</v>
      </c>
      <c r="B18" s="71">
        <f>'Balance sheet '!B20/'Income statement '!B2</f>
        <v>1.4330415713517449E-2</v>
      </c>
      <c r="C18" s="71">
        <f>'Balance sheet '!C20/'Income statement '!C2</f>
        <v>1.6037295674661899E-2</v>
      </c>
      <c r="D18" s="71">
        <f>'Balance sheet '!D20/'Income statement '!D2</f>
        <v>1.3346795273387366E-2</v>
      </c>
      <c r="E18" s="71">
        <f>'Balance sheet '!E20/'Income statement '!E2</f>
        <v>1.211682891532564E-2</v>
      </c>
      <c r="F18" s="71">
        <f>'Balance sheet '!F20/'Income statement '!F2</f>
        <v>1.0822775713309335E-2</v>
      </c>
      <c r="G18" s="71">
        <f t="shared" si="8"/>
        <v>1.3330822258040336E-2</v>
      </c>
      <c r="H18" s="72">
        <f t="shared" si="7"/>
        <v>1.3330822258040336E-2</v>
      </c>
      <c r="I18" s="72">
        <f t="shared" si="7"/>
        <v>1.3330822258040336E-2</v>
      </c>
      <c r="J18" s="78" t="s">
        <v>139</v>
      </c>
      <c r="K18" s="8" t="s">
        <v>156</v>
      </c>
    </row>
    <row r="19" spans="1:11">
      <c r="A19" s="70" t="s">
        <v>121</v>
      </c>
      <c r="B19" s="71">
        <f>'Balance sheet '!B21/'Income statement '!B2</f>
        <v>0.29081575865416542</v>
      </c>
      <c r="C19" s="71">
        <f>'Balance sheet '!C21/'Income statement '!C2</f>
        <v>0.30916872900423659</v>
      </c>
      <c r="D19" s="71">
        <f>'Balance sheet '!D21/'Income statement '!D2</f>
        <v>0.21226520959253883</v>
      </c>
      <c r="E19" s="71">
        <f>'Balance sheet '!E21/'Income statement '!E2</f>
        <v>0.15007613263706493</v>
      </c>
      <c r="F19" s="71">
        <f>'Balance sheet '!F21/'Income statement '!F2</f>
        <v>0.18594892535223698</v>
      </c>
      <c r="G19" s="71">
        <f t="shared" si="8"/>
        <v>0.22965495104804856</v>
      </c>
      <c r="H19" s="72">
        <f t="shared" si="7"/>
        <v>0.22965495104804856</v>
      </c>
      <c r="I19" s="72">
        <f t="shared" si="7"/>
        <v>0.22965495104804856</v>
      </c>
      <c r="J19" s="78" t="s">
        <v>140</v>
      </c>
      <c r="K19" s="8" t="s">
        <v>157</v>
      </c>
    </row>
  </sheetData>
  <mergeCells count="1">
    <mergeCell ref="K13:N13"/>
  </mergeCells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abSelected="1" topLeftCell="A55" workbookViewId="0">
      <selection activeCell="G67" sqref="G67"/>
    </sheetView>
  </sheetViews>
  <sheetFormatPr baseColWidth="10" defaultColWidth="8.83203125" defaultRowHeight="12" x14ac:dyDescent="0"/>
  <cols>
    <col min="1" max="1" width="23" customWidth="1"/>
    <col min="2" max="2" width="17.6640625" customWidth="1"/>
    <col min="3" max="3" width="76.1640625" customWidth="1"/>
    <col min="4" max="4" width="15.83203125" customWidth="1"/>
    <col min="5" max="5" width="15.1640625" customWidth="1"/>
    <col min="6" max="6" width="14" customWidth="1"/>
    <col min="7" max="7" width="14.83203125" customWidth="1"/>
    <col min="8" max="8" width="24.6640625" customWidth="1"/>
    <col min="9" max="9" width="13.33203125" customWidth="1"/>
    <col min="10" max="10" width="20.5" customWidth="1"/>
  </cols>
  <sheetData>
    <row r="1" spans="1:16" ht="14">
      <c r="A1" s="40" t="s">
        <v>44</v>
      </c>
      <c r="B1" s="40" t="s">
        <v>45</v>
      </c>
      <c r="C1" t="s">
        <v>46</v>
      </c>
      <c r="D1" s="7" t="s">
        <v>63</v>
      </c>
      <c r="E1" s="7" t="s">
        <v>64</v>
      </c>
      <c r="F1" s="8" t="s">
        <v>82</v>
      </c>
      <c r="G1" s="8" t="s">
        <v>55</v>
      </c>
    </row>
    <row r="2" spans="1:16" ht="13">
      <c r="A2" s="41" t="s">
        <v>37</v>
      </c>
      <c r="B2" s="42">
        <v>2613.5</v>
      </c>
      <c r="C2" s="28">
        <v>8290.4128500000006</v>
      </c>
      <c r="D2" s="59">
        <v>0</v>
      </c>
      <c r="E2" s="39">
        <v>1</v>
      </c>
      <c r="F2" s="51">
        <f>((D2/B3)+((B2*E2)-B3)/B3)</f>
        <v>-4.7384727537816661E-2</v>
      </c>
      <c r="G2" s="56">
        <f>(C2-C3)/C3</f>
        <v>-3.6272101440671341E-2</v>
      </c>
      <c r="H2" s="98" t="s">
        <v>165</v>
      </c>
      <c r="I2" s="98"/>
      <c r="J2" s="98"/>
      <c r="K2" s="98"/>
      <c r="L2" s="98"/>
      <c r="M2" s="98"/>
      <c r="N2" s="98"/>
      <c r="O2" s="98"/>
      <c r="P2" s="24"/>
    </row>
    <row r="3" spans="1:16" ht="13">
      <c r="A3" s="41" t="s">
        <v>38</v>
      </c>
      <c r="B3" s="43">
        <v>2743.5</v>
      </c>
      <c r="C3" s="28">
        <v>8602.4414799999995</v>
      </c>
      <c r="D3" s="59">
        <v>0</v>
      </c>
      <c r="E3" s="39">
        <v>1</v>
      </c>
      <c r="F3" s="51">
        <f t="shared" ref="F3:F60" si="0">((D3/B4)+((B3*E3)-B4)/B4)</f>
        <v>-8.1944823818628793E-4</v>
      </c>
      <c r="G3" s="56">
        <f t="shared" ref="G3:G60" si="1">(C3-C4)/C4</f>
        <v>8.1099725471817971E-2</v>
      </c>
      <c r="H3" s="98" t="s">
        <v>173</v>
      </c>
      <c r="I3" s="98"/>
      <c r="J3" s="98"/>
      <c r="K3" s="98"/>
      <c r="L3" s="98"/>
      <c r="M3" s="98"/>
      <c r="N3" s="98"/>
      <c r="O3" s="98"/>
      <c r="P3" s="98"/>
    </row>
    <row r="4" spans="1:16" ht="13">
      <c r="A4" s="41" t="s">
        <v>39</v>
      </c>
      <c r="B4" s="42">
        <v>2745.75</v>
      </c>
      <c r="C4" s="28">
        <v>7957.1211400000002</v>
      </c>
      <c r="D4" s="59">
        <v>0</v>
      </c>
      <c r="E4" s="39">
        <v>1</v>
      </c>
      <c r="F4" s="51">
        <f t="shared" si="0"/>
        <v>-1.5242535640634807E-2</v>
      </c>
      <c r="G4" s="56">
        <f t="shared" si="1"/>
        <v>0.12113474918693966</v>
      </c>
      <c r="H4" s="98" t="s">
        <v>174</v>
      </c>
      <c r="I4" s="98"/>
      <c r="J4" s="98"/>
      <c r="K4" s="98"/>
      <c r="L4" s="98"/>
      <c r="M4" s="98"/>
      <c r="N4" s="24"/>
      <c r="O4" s="24"/>
      <c r="P4" s="24"/>
    </row>
    <row r="5" spans="1:16" ht="13">
      <c r="A5" s="41" t="s">
        <v>40</v>
      </c>
      <c r="B5" s="42">
        <v>2788.25</v>
      </c>
      <c r="C5" s="28">
        <v>7097.3815999999997</v>
      </c>
      <c r="D5" s="59">
        <v>0</v>
      </c>
      <c r="E5" s="39">
        <v>1</v>
      </c>
      <c r="F5" s="51">
        <f t="shared" si="0"/>
        <v>-4.1920797182372647E-2</v>
      </c>
      <c r="G5" s="56">
        <f t="shared" si="1"/>
        <v>6.5997038435847324E-2</v>
      </c>
    </row>
    <row r="6" spans="1:16" ht="13">
      <c r="A6" s="41" t="s">
        <v>41</v>
      </c>
      <c r="B6" s="42">
        <v>2910.25</v>
      </c>
      <c r="C6" s="28">
        <v>6657.9749700000002</v>
      </c>
      <c r="D6" s="59">
        <v>0</v>
      </c>
      <c r="E6" s="39">
        <v>1</v>
      </c>
      <c r="F6" s="51">
        <f t="shared" si="0"/>
        <v>0.30416760026887746</v>
      </c>
      <c r="G6" s="56">
        <f t="shared" si="1"/>
        <v>4.9697131047291752E-2</v>
      </c>
    </row>
    <row r="7" spans="1:16" ht="13">
      <c r="A7" s="41" t="s">
        <v>42</v>
      </c>
      <c r="B7" s="42">
        <v>2231.5</v>
      </c>
      <c r="C7" s="28">
        <v>6342.7580900000003</v>
      </c>
      <c r="D7" s="59">
        <v>0</v>
      </c>
      <c r="E7" s="39">
        <v>1</v>
      </c>
      <c r="F7" s="51">
        <f t="shared" si="0"/>
        <v>2.976465159206276E-2</v>
      </c>
      <c r="G7" s="56">
        <f t="shared" si="1"/>
        <v>3.0726459746133868E-2</v>
      </c>
    </row>
    <row r="8" spans="1:16" ht="13">
      <c r="A8" s="44" t="s">
        <v>43</v>
      </c>
      <c r="B8" s="45">
        <v>2167</v>
      </c>
      <c r="C8" s="28">
        <v>6153.6773700000003</v>
      </c>
      <c r="D8" s="59">
        <v>0</v>
      </c>
      <c r="E8" s="39">
        <v>1</v>
      </c>
      <c r="F8" s="51">
        <f t="shared" si="0"/>
        <v>8.0528546497132883E-2</v>
      </c>
      <c r="G8" s="56">
        <f t="shared" si="1"/>
        <v>7.5089861775553381E-3</v>
      </c>
    </row>
    <row r="9" spans="1:16" ht="13">
      <c r="A9" s="46">
        <v>40329</v>
      </c>
      <c r="B9" s="45">
        <v>2005.5</v>
      </c>
      <c r="C9" s="29">
        <v>6107.8138799999997</v>
      </c>
      <c r="D9" s="59">
        <v>0</v>
      </c>
      <c r="E9" s="39">
        <v>1</v>
      </c>
      <c r="F9" s="51">
        <f t="shared" si="0"/>
        <v>2.7934392619169655E-2</v>
      </c>
      <c r="G9" s="56">
        <f t="shared" si="1"/>
        <v>8.0096639127383101E-2</v>
      </c>
    </row>
    <row r="10" spans="1:16" ht="13">
      <c r="A10" s="46">
        <v>40297</v>
      </c>
      <c r="B10" s="42">
        <v>1951</v>
      </c>
      <c r="C10" s="29">
        <v>5654.8772200000003</v>
      </c>
      <c r="D10" s="59">
        <v>0</v>
      </c>
      <c r="E10" s="39">
        <v>1</v>
      </c>
      <c r="F10" s="51">
        <f t="shared" si="0"/>
        <v>-2.9232491603433264E-2</v>
      </c>
      <c r="G10" s="56">
        <f t="shared" si="1"/>
        <v>1.2995090648709821E-2</v>
      </c>
    </row>
    <row r="11" spans="1:16" ht="13">
      <c r="A11" s="46">
        <v>40268</v>
      </c>
      <c r="B11" s="4">
        <v>2009.75</v>
      </c>
      <c r="C11" s="29">
        <v>5582.33428</v>
      </c>
      <c r="D11" s="3">
        <v>30</v>
      </c>
      <c r="E11" s="39">
        <v>1</v>
      </c>
      <c r="F11" s="51">
        <f t="shared" si="0"/>
        <v>-7.3001581700936867E-3</v>
      </c>
      <c r="G11" s="56">
        <f t="shared" si="1"/>
        <v>3.9156552447449514E-3</v>
      </c>
    </row>
    <row r="12" spans="1:16" ht="15">
      <c r="A12" s="46">
        <v>40237</v>
      </c>
      <c r="B12" s="4">
        <v>2054.75</v>
      </c>
      <c r="C12" s="30">
        <v>5560.5610399999996</v>
      </c>
      <c r="D12" s="61">
        <v>0</v>
      </c>
      <c r="E12" s="39">
        <v>1</v>
      </c>
      <c r="F12" s="51">
        <f t="shared" si="0"/>
        <v>-0.11251484720872476</v>
      </c>
      <c r="G12" s="56">
        <f t="shared" si="1"/>
        <v>3.6044454499851976E-2</v>
      </c>
    </row>
    <row r="13" spans="1:16" ht="15">
      <c r="A13" s="46">
        <v>40208</v>
      </c>
      <c r="B13" s="4">
        <v>2315.25</v>
      </c>
      <c r="C13" s="29">
        <v>5367.1066099999998</v>
      </c>
      <c r="D13" s="61">
        <v>0</v>
      </c>
      <c r="E13" s="39">
        <v>1</v>
      </c>
      <c r="F13" s="51">
        <f t="shared" si="0"/>
        <v>0.25199405164255778</v>
      </c>
      <c r="G13" s="56">
        <f t="shared" si="1"/>
        <v>0.18334671522617671</v>
      </c>
    </row>
    <row r="14" spans="1:16" ht="15">
      <c r="A14" s="46">
        <v>40177</v>
      </c>
      <c r="B14" s="47">
        <v>1849.25</v>
      </c>
      <c r="C14" s="29">
        <v>4535.5317599999998</v>
      </c>
      <c r="D14" s="61">
        <v>0</v>
      </c>
      <c r="E14" s="39">
        <v>1</v>
      </c>
      <c r="F14" s="51">
        <f t="shared" si="0"/>
        <v>6.8467427415860177E-2</v>
      </c>
      <c r="G14" s="56">
        <f t="shared" si="1"/>
        <v>3.5285444584796141E-2</v>
      </c>
    </row>
    <row r="15" spans="1:16" ht="15">
      <c r="A15" s="46">
        <v>40143</v>
      </c>
      <c r="B15" s="47">
        <v>1730.75</v>
      </c>
      <c r="C15" s="29">
        <v>4380.9480599999997</v>
      </c>
      <c r="D15" s="61">
        <v>0</v>
      </c>
      <c r="E15" s="39">
        <v>1</v>
      </c>
      <c r="F15" s="51">
        <f t="shared" si="0"/>
        <v>2.8371954842543078E-2</v>
      </c>
      <c r="G15" s="56">
        <f t="shared" si="1"/>
        <v>0.30220184313771203</v>
      </c>
    </row>
    <row r="16" spans="1:16" ht="15">
      <c r="A16" s="46">
        <v>40115</v>
      </c>
      <c r="B16" s="4">
        <v>1683</v>
      </c>
      <c r="C16" s="29">
        <v>3364.2619100000002</v>
      </c>
      <c r="D16" s="61">
        <v>0</v>
      </c>
      <c r="E16" s="39">
        <v>1</v>
      </c>
      <c r="F16" s="51">
        <f t="shared" si="0"/>
        <v>0.14880546075085324</v>
      </c>
      <c r="G16" s="56">
        <f t="shared" si="1"/>
        <v>9.0916420799117548E-2</v>
      </c>
    </row>
    <row r="17" spans="1:7" ht="15">
      <c r="A17" s="46">
        <v>40086</v>
      </c>
      <c r="B17" s="4">
        <v>1465</v>
      </c>
      <c r="C17" s="29">
        <v>3083.8860300000001</v>
      </c>
      <c r="D17" s="61">
        <v>0</v>
      </c>
      <c r="E17" s="39">
        <v>1</v>
      </c>
      <c r="F17" s="51">
        <f t="shared" si="0"/>
        <v>9.7378277153558054E-2</v>
      </c>
      <c r="G17" s="56">
        <f t="shared" si="1"/>
        <v>4.8483074511863886E-2</v>
      </c>
    </row>
    <row r="18" spans="1:7" ht="15">
      <c r="A18" s="46">
        <v>40056</v>
      </c>
      <c r="B18" s="48">
        <v>1335</v>
      </c>
      <c r="C18" s="29">
        <v>2941.2835599999999</v>
      </c>
      <c r="D18" s="61">
        <v>0</v>
      </c>
      <c r="E18" s="39">
        <v>1</v>
      </c>
      <c r="F18" s="51">
        <f t="shared" si="0"/>
        <v>9.0702947845804991E-3</v>
      </c>
      <c r="G18" s="56">
        <f t="shared" si="1"/>
        <v>9.1780821490097305E-3</v>
      </c>
    </row>
    <row r="19" spans="1:7" ht="15">
      <c r="A19" s="46">
        <v>40024</v>
      </c>
      <c r="B19" s="49">
        <v>1323</v>
      </c>
      <c r="C19" s="29">
        <v>2914.5337300000001</v>
      </c>
      <c r="D19" s="61">
        <v>0</v>
      </c>
      <c r="E19" s="60">
        <v>1.5</v>
      </c>
      <c r="F19" s="51">
        <f t="shared" si="0"/>
        <v>0.54887804878048785</v>
      </c>
      <c r="G19" s="56">
        <f t="shared" si="1"/>
        <v>-3.1801219653245026E-2</v>
      </c>
    </row>
    <row r="20" spans="1:7" ht="15">
      <c r="A20" s="46">
        <v>39994</v>
      </c>
      <c r="B20" s="4">
        <v>1281.25</v>
      </c>
      <c r="C20" s="29">
        <v>3010.26379</v>
      </c>
      <c r="D20" s="61">
        <v>0</v>
      </c>
      <c r="E20" s="60">
        <v>1</v>
      </c>
      <c r="F20" s="51">
        <f t="shared" si="0"/>
        <v>0.16028978944985284</v>
      </c>
      <c r="G20" s="56">
        <f t="shared" si="1"/>
        <v>0.17031600257325663</v>
      </c>
    </row>
    <row r="21" spans="1:7" ht="15">
      <c r="A21" s="46">
        <v>39964</v>
      </c>
      <c r="B21" s="47">
        <v>1104.25</v>
      </c>
      <c r="C21" s="29">
        <v>2572.1803199999999</v>
      </c>
      <c r="D21" s="61">
        <v>0</v>
      </c>
      <c r="E21" s="60">
        <v>1</v>
      </c>
      <c r="F21" s="51">
        <f t="shared" si="0"/>
        <v>-6.9694244604316547E-3</v>
      </c>
      <c r="G21" s="56">
        <f t="shared" si="1"/>
        <v>6.9782852839617758E-3</v>
      </c>
    </row>
    <row r="22" spans="1:7" ht="15">
      <c r="A22" s="46">
        <v>39933</v>
      </c>
      <c r="B22" s="47">
        <v>1112</v>
      </c>
      <c r="C22" s="29">
        <v>2554.3553000000002</v>
      </c>
      <c r="D22" s="61">
        <v>0</v>
      </c>
      <c r="E22" s="60">
        <v>1</v>
      </c>
      <c r="F22" s="51">
        <f t="shared" si="0"/>
        <v>-5.4421768707482991E-2</v>
      </c>
      <c r="G22" s="56">
        <f t="shared" si="1"/>
        <v>4.3905379502761105E-2</v>
      </c>
    </row>
    <row r="23" spans="1:7" ht="13">
      <c r="A23" s="46">
        <v>39903</v>
      </c>
      <c r="B23" s="47">
        <v>1176</v>
      </c>
      <c r="C23" s="29">
        <v>2446.9222500000001</v>
      </c>
      <c r="D23" s="60">
        <v>45</v>
      </c>
      <c r="E23" s="60">
        <v>1</v>
      </c>
      <c r="F23" s="51">
        <f t="shared" si="0"/>
        <v>0.13554987212276215</v>
      </c>
      <c r="G23" s="56">
        <f t="shared" si="1"/>
        <v>-4.8247208306981787E-2</v>
      </c>
    </row>
    <row r="24" spans="1:7" ht="13">
      <c r="A24" s="46">
        <v>39870</v>
      </c>
      <c r="B24" s="47">
        <v>1075.25</v>
      </c>
      <c r="C24" s="29">
        <v>2570.9640899999999</v>
      </c>
      <c r="D24" s="62">
        <v>0</v>
      </c>
      <c r="E24" s="60">
        <v>1</v>
      </c>
      <c r="F24" s="51">
        <f t="shared" si="0"/>
        <v>7.9026593075765178E-2</v>
      </c>
      <c r="G24" s="56">
        <f t="shared" si="1"/>
        <v>-2.9639679346350815E-2</v>
      </c>
    </row>
    <row r="25" spans="1:7" ht="15">
      <c r="A25" s="46">
        <v>39842</v>
      </c>
      <c r="B25" s="47">
        <v>996.5</v>
      </c>
      <c r="C25" s="31">
        <v>2649.4942500000002</v>
      </c>
      <c r="D25" s="62">
        <v>0</v>
      </c>
      <c r="E25" s="60">
        <v>1</v>
      </c>
      <c r="F25" s="51">
        <f t="shared" si="0"/>
        <v>-9.1406428082972419E-2</v>
      </c>
      <c r="G25" s="56">
        <f t="shared" si="1"/>
        <v>-5.2174601300736208E-2</v>
      </c>
    </row>
    <row r="26" spans="1:7" ht="15">
      <c r="A26" s="44">
        <v>39812</v>
      </c>
      <c r="B26" s="47">
        <v>1096.75</v>
      </c>
      <c r="C26" s="31">
        <v>2795.34</v>
      </c>
      <c r="D26" s="62">
        <v>0</v>
      </c>
      <c r="E26" s="60">
        <v>1</v>
      </c>
      <c r="F26" s="51">
        <f t="shared" si="0"/>
        <v>0.19050203527815468</v>
      </c>
      <c r="G26" s="56">
        <f t="shared" si="1"/>
        <v>0.1322123661071106</v>
      </c>
    </row>
    <row r="27" spans="1:7" ht="15">
      <c r="A27" s="44">
        <v>39782</v>
      </c>
      <c r="B27" s="47">
        <v>921.25</v>
      </c>
      <c r="C27" s="31">
        <v>2468.9184500000001</v>
      </c>
      <c r="D27" s="62">
        <v>0</v>
      </c>
      <c r="E27" s="60">
        <v>1</v>
      </c>
      <c r="F27" s="51">
        <f t="shared" si="0"/>
        <v>-0.14002333722287047</v>
      </c>
      <c r="G27" s="56">
        <f t="shared" si="1"/>
        <v>-0.10175344210882392</v>
      </c>
    </row>
    <row r="28" spans="1:7" ht="15">
      <c r="A28" s="44">
        <v>39751</v>
      </c>
      <c r="B28" s="50">
        <v>1071.25</v>
      </c>
      <c r="C28" s="31">
        <v>2748.59773</v>
      </c>
      <c r="D28" s="62">
        <v>0</v>
      </c>
      <c r="E28" s="60">
        <v>1</v>
      </c>
      <c r="F28" s="51">
        <f t="shared" si="0"/>
        <v>0.13962765957446807</v>
      </c>
      <c r="G28" s="56">
        <f t="shared" si="1"/>
        <v>-7.3553689160220384E-2</v>
      </c>
    </row>
    <row r="29" spans="1:7" ht="15">
      <c r="A29" s="44">
        <v>39716</v>
      </c>
      <c r="B29" s="38">
        <v>940</v>
      </c>
      <c r="C29" s="31">
        <v>2966.8181500000001</v>
      </c>
      <c r="D29" s="62">
        <v>0</v>
      </c>
      <c r="E29" s="60">
        <v>1</v>
      </c>
      <c r="F29" s="51">
        <f t="shared" si="0"/>
        <v>4.2735042735042739E-3</v>
      </c>
      <c r="G29" s="56">
        <f t="shared" si="1"/>
        <v>6.2918511751218209E-2</v>
      </c>
    </row>
    <row r="30" spans="1:7" ht="13">
      <c r="A30" s="44">
        <v>39691</v>
      </c>
      <c r="B30" s="47">
        <v>936</v>
      </c>
      <c r="C30" s="32">
        <v>2791.2</v>
      </c>
      <c r="D30" s="62">
        <v>0</v>
      </c>
      <c r="E30" s="60">
        <v>1</v>
      </c>
      <c r="F30" s="51">
        <f t="shared" si="0"/>
        <v>-4.684317718940937E-2</v>
      </c>
      <c r="G30" s="56">
        <f t="shared" si="1"/>
        <v>1.0919758787417697E-2</v>
      </c>
    </row>
    <row r="31" spans="1:7" ht="15">
      <c r="A31" s="44">
        <v>39659</v>
      </c>
      <c r="B31" s="47">
        <v>982</v>
      </c>
      <c r="C31" s="31">
        <v>2761.05</v>
      </c>
      <c r="D31" s="62">
        <v>0</v>
      </c>
      <c r="E31" s="60">
        <v>1</v>
      </c>
      <c r="F31" s="51">
        <f t="shared" si="0"/>
        <v>-9.1371732593106644E-2</v>
      </c>
      <c r="G31" s="56">
        <f t="shared" si="1"/>
        <v>-7.980029928445008E-2</v>
      </c>
    </row>
    <row r="32" spans="1:7" ht="13">
      <c r="A32" s="44">
        <v>39629</v>
      </c>
      <c r="B32" s="38">
        <v>1080.75</v>
      </c>
      <c r="C32" s="32">
        <v>3000.49</v>
      </c>
      <c r="D32" s="62">
        <v>0</v>
      </c>
      <c r="E32" s="60">
        <v>1</v>
      </c>
      <c r="F32" s="51">
        <f t="shared" si="0"/>
        <v>-7.8448092091238542E-2</v>
      </c>
      <c r="G32" s="56">
        <f t="shared" si="1"/>
        <v>-5.2872641643439536E-2</v>
      </c>
    </row>
    <row r="33" spans="1:7" ht="13">
      <c r="A33" s="44">
        <v>39597</v>
      </c>
      <c r="B33" s="38">
        <v>1172.75</v>
      </c>
      <c r="C33" s="32">
        <v>3167.99</v>
      </c>
      <c r="D33" s="62">
        <v>0</v>
      </c>
      <c r="E33" s="60">
        <v>1</v>
      </c>
      <c r="F33" s="51">
        <f t="shared" si="0"/>
        <v>0.19515923566878982</v>
      </c>
      <c r="G33" s="56">
        <f t="shared" si="1"/>
        <v>3.0961485266120987E-2</v>
      </c>
    </row>
    <row r="34" spans="1:7" ht="13">
      <c r="A34" s="44">
        <v>39568</v>
      </c>
      <c r="B34" s="38">
        <v>981.25</v>
      </c>
      <c r="C34" s="33">
        <v>3072.85</v>
      </c>
      <c r="D34" s="62">
        <v>0</v>
      </c>
      <c r="E34" s="60">
        <v>1</v>
      </c>
      <c r="F34" s="51">
        <f t="shared" si="0"/>
        <v>1.2119649303764827E-2</v>
      </c>
      <c r="G34" s="56">
        <f t="shared" si="1"/>
        <v>1.8684304832538714E-2</v>
      </c>
    </row>
    <row r="35" spans="1:7" ht="13">
      <c r="A35" s="44">
        <v>39538</v>
      </c>
      <c r="B35" s="38">
        <v>969.5</v>
      </c>
      <c r="C35" s="28">
        <v>3016.489</v>
      </c>
      <c r="D35" s="62">
        <v>0</v>
      </c>
      <c r="E35" s="60">
        <v>1</v>
      </c>
      <c r="F35" s="51">
        <f t="shared" si="0"/>
        <v>0.24454428754813864</v>
      </c>
      <c r="G35" s="56">
        <f t="shared" si="1"/>
        <v>2.9033765666682559E-2</v>
      </c>
    </row>
    <row r="36" spans="1:7" ht="13">
      <c r="A36" s="41">
        <v>39506</v>
      </c>
      <c r="B36" s="38">
        <v>779</v>
      </c>
      <c r="C36" s="34">
        <v>2931.38</v>
      </c>
      <c r="D36" s="62">
        <v>0</v>
      </c>
      <c r="E36" s="60">
        <v>2</v>
      </c>
      <c r="F36" s="51">
        <f t="shared" si="0"/>
        <v>1.1357093899931461</v>
      </c>
      <c r="G36" s="56">
        <f t="shared" si="1"/>
        <v>8.329073743982951E-3</v>
      </c>
    </row>
    <row r="37" spans="1:7" ht="13">
      <c r="A37" s="41">
        <v>39478</v>
      </c>
      <c r="B37" s="47">
        <v>729.5</v>
      </c>
      <c r="C37" s="33">
        <v>2907.1660000000002</v>
      </c>
      <c r="D37" s="62">
        <v>0</v>
      </c>
      <c r="E37" s="60">
        <v>1</v>
      </c>
      <c r="F37" s="51">
        <f t="shared" si="0"/>
        <v>-2.9920212765957448E-2</v>
      </c>
      <c r="G37" s="56">
        <f t="shared" si="1"/>
        <v>-3.6472105024177921E-2</v>
      </c>
    </row>
    <row r="38" spans="1:7" ht="13">
      <c r="A38" s="41">
        <v>39446</v>
      </c>
      <c r="B38" s="47">
        <v>752</v>
      </c>
      <c r="C38" s="34">
        <v>3017.21</v>
      </c>
      <c r="D38" s="60">
        <v>40</v>
      </c>
      <c r="E38" s="60">
        <v>1</v>
      </c>
      <c r="F38" s="51">
        <f t="shared" si="0"/>
        <v>2.2595222724338282E-2</v>
      </c>
      <c r="G38" s="56">
        <f t="shared" si="1"/>
        <v>1.5516086580436237E-2</v>
      </c>
    </row>
    <row r="39" spans="1:7" ht="13">
      <c r="A39" s="41">
        <v>39415</v>
      </c>
      <c r="B39" s="47">
        <v>774.5</v>
      </c>
      <c r="C39" s="34">
        <v>2971.11</v>
      </c>
      <c r="D39" s="62">
        <v>0</v>
      </c>
      <c r="E39" s="60">
        <v>1</v>
      </c>
      <c r="F39" s="51">
        <f t="shared" si="0"/>
        <v>-5.9502125075895571E-2</v>
      </c>
      <c r="G39" s="56">
        <f t="shared" si="1"/>
        <v>4.2198533048502067E-2</v>
      </c>
    </row>
    <row r="40" spans="1:7" ht="13">
      <c r="A40" s="41">
        <v>39386</v>
      </c>
      <c r="B40" s="47">
        <v>823.5</v>
      </c>
      <c r="C40" s="34">
        <v>2850.81</v>
      </c>
      <c r="D40" s="62">
        <v>0</v>
      </c>
      <c r="E40" s="60">
        <v>1</v>
      </c>
      <c r="F40" s="51">
        <f t="shared" si="0"/>
        <v>-5.7349833987322667E-3</v>
      </c>
      <c r="G40" s="56">
        <f t="shared" si="1"/>
        <v>0.11862710860156414</v>
      </c>
    </row>
    <row r="41" spans="1:7" ht="13">
      <c r="A41" s="41">
        <v>39355</v>
      </c>
      <c r="B41" s="47">
        <v>828.25</v>
      </c>
      <c r="C41" s="35">
        <v>2548.4899999999998</v>
      </c>
      <c r="D41" s="62">
        <v>0</v>
      </c>
      <c r="E41" s="60">
        <v>1</v>
      </c>
      <c r="F41" s="51">
        <f t="shared" si="0"/>
        <v>0.20472727272727273</v>
      </c>
      <c r="G41" s="56">
        <f t="shared" si="1"/>
        <v>3.8047639995437969E-2</v>
      </c>
    </row>
    <row r="42" spans="1:7" ht="13">
      <c r="A42" s="41">
        <v>39323</v>
      </c>
      <c r="B42" s="47">
        <v>687.5</v>
      </c>
      <c r="C42" s="34">
        <v>2455.08</v>
      </c>
      <c r="D42" s="62">
        <v>0</v>
      </c>
      <c r="E42" s="60">
        <v>1</v>
      </c>
      <c r="F42" s="51">
        <f t="shared" si="0"/>
        <v>1.177336276674025E-2</v>
      </c>
      <c r="G42" s="56">
        <f t="shared" si="1"/>
        <v>2.9737687590702083E-2</v>
      </c>
    </row>
    <row r="43" spans="1:7" ht="13">
      <c r="A43" s="41">
        <v>39294</v>
      </c>
      <c r="B43" s="47">
        <v>679.5</v>
      </c>
      <c r="C43" s="36">
        <v>2384.1799999999998</v>
      </c>
      <c r="D43" s="62">
        <v>0</v>
      </c>
      <c r="E43" s="60">
        <v>1</v>
      </c>
      <c r="F43" s="51">
        <f t="shared" si="0"/>
        <v>0.10218978102189781</v>
      </c>
      <c r="G43" s="56">
        <f t="shared" si="1"/>
        <v>0.10927176967599038</v>
      </c>
    </row>
    <row r="44" spans="1:7" ht="13">
      <c r="A44" s="44">
        <v>39261</v>
      </c>
      <c r="B44" s="47">
        <v>616.5</v>
      </c>
      <c r="C44" s="29">
        <v>2149.3200000000002</v>
      </c>
      <c r="D44" s="62">
        <v>0</v>
      </c>
      <c r="E44" s="60">
        <v>1</v>
      </c>
      <c r="F44" s="51">
        <f t="shared" si="0"/>
        <v>-2.0651310563939634E-2</v>
      </c>
      <c r="G44" s="56">
        <f t="shared" si="1"/>
        <v>7.2739795765579734E-2</v>
      </c>
    </row>
    <row r="45" spans="1:7" ht="13">
      <c r="A45" s="44">
        <v>39233</v>
      </c>
      <c r="B45" s="47">
        <v>629.5</v>
      </c>
      <c r="C45" s="29">
        <v>2003.58</v>
      </c>
      <c r="D45" s="62">
        <v>0</v>
      </c>
      <c r="E45" s="60">
        <v>1</v>
      </c>
      <c r="F45" s="51">
        <f t="shared" si="0"/>
        <v>0.1679035250463822</v>
      </c>
      <c r="G45" s="56">
        <f t="shared" si="1"/>
        <v>0.14928326822804633</v>
      </c>
    </row>
    <row r="46" spans="1:7" ht="13">
      <c r="A46" s="44">
        <v>39202</v>
      </c>
      <c r="B46" s="47">
        <v>539</v>
      </c>
      <c r="C46" s="29">
        <v>1743.33</v>
      </c>
      <c r="D46" s="62">
        <v>0</v>
      </c>
      <c r="E46" s="60">
        <v>1</v>
      </c>
      <c r="F46" s="51">
        <f t="shared" si="0"/>
        <v>1.5544041450777202E-2</v>
      </c>
      <c r="G46" s="56">
        <f t="shared" si="1"/>
        <v>-9.9666076052883669E-3</v>
      </c>
    </row>
    <row r="47" spans="1:7" ht="13">
      <c r="A47" s="44">
        <v>39170</v>
      </c>
      <c r="B47" s="47">
        <v>530.75</v>
      </c>
      <c r="C47" s="33">
        <v>1760.88</v>
      </c>
      <c r="D47" s="62">
        <v>0</v>
      </c>
      <c r="E47" s="60">
        <v>1.5</v>
      </c>
      <c r="F47" s="51">
        <f t="shared" si="0"/>
        <v>0.55569125549584764</v>
      </c>
      <c r="G47" s="56">
        <f t="shared" si="1"/>
        <v>-1.7113768043135993E-2</v>
      </c>
    </row>
    <row r="48" spans="1:7" ht="13">
      <c r="A48" s="44">
        <v>39141</v>
      </c>
      <c r="B48" s="47">
        <v>511.75</v>
      </c>
      <c r="C48" s="29">
        <v>1791.54</v>
      </c>
      <c r="D48" s="62">
        <v>0</v>
      </c>
      <c r="E48" s="60">
        <v>1</v>
      </c>
      <c r="F48" s="51">
        <f t="shared" si="0"/>
        <v>-2.8937381404174574E-2</v>
      </c>
      <c r="G48" s="56">
        <f t="shared" si="1"/>
        <v>-7.523034563054351E-3</v>
      </c>
    </row>
    <row r="49" spans="1:7" ht="13">
      <c r="A49" s="44">
        <v>39113</v>
      </c>
      <c r="B49" s="47">
        <v>527</v>
      </c>
      <c r="C49" s="34">
        <v>1805.1199799999999</v>
      </c>
      <c r="D49" s="62">
        <v>0</v>
      </c>
      <c r="E49" s="60">
        <v>1</v>
      </c>
      <c r="F49" s="51">
        <f t="shared" si="0"/>
        <v>8.6038124678001024E-2</v>
      </c>
      <c r="G49" s="56">
        <f t="shared" si="1"/>
        <v>0.12153387055687753</v>
      </c>
    </row>
    <row r="50" spans="1:7" ht="13">
      <c r="A50" s="44">
        <v>39079</v>
      </c>
      <c r="B50" s="47">
        <v>485.25</v>
      </c>
      <c r="C50" s="34">
        <v>1609.51</v>
      </c>
      <c r="D50" s="62">
        <v>0</v>
      </c>
      <c r="E50" s="60">
        <v>1</v>
      </c>
      <c r="F50" s="51">
        <f t="shared" si="0"/>
        <v>4.1386445938954991E-3</v>
      </c>
      <c r="G50" s="56">
        <f t="shared" si="1"/>
        <v>5.3833914973580678E-2</v>
      </c>
    </row>
    <row r="51" spans="1:7" ht="13">
      <c r="A51" s="44">
        <v>39051</v>
      </c>
      <c r="B51" s="47">
        <v>483.25</v>
      </c>
      <c r="C51" s="37">
        <v>1527.29</v>
      </c>
      <c r="D51" s="62">
        <v>0</v>
      </c>
      <c r="E51" s="60">
        <v>1</v>
      </c>
      <c r="F51" s="51">
        <f t="shared" si="0"/>
        <v>-2.1761133603238867E-2</v>
      </c>
      <c r="G51" s="56">
        <f t="shared" si="1"/>
        <v>-9.3146952940032605E-3</v>
      </c>
    </row>
    <row r="52" spans="1:7" ht="13">
      <c r="A52" s="44">
        <v>39018</v>
      </c>
      <c r="B52" s="38">
        <v>494</v>
      </c>
      <c r="C52" s="34">
        <v>1541.65</v>
      </c>
      <c r="D52" s="62">
        <v>0</v>
      </c>
      <c r="E52" s="60">
        <v>1</v>
      </c>
      <c r="F52" s="51">
        <f t="shared" si="0"/>
        <v>-1.5936254980079681E-2</v>
      </c>
      <c r="G52" s="56">
        <f t="shared" si="1"/>
        <v>-1.336294343148604E-2</v>
      </c>
    </row>
    <row r="53" spans="1:7" ht="13">
      <c r="A53" s="44">
        <v>38988</v>
      </c>
      <c r="B53" s="38">
        <v>502</v>
      </c>
      <c r="C53" s="34">
        <v>1562.53</v>
      </c>
      <c r="D53" s="62">
        <v>50</v>
      </c>
      <c r="E53" s="60">
        <v>1</v>
      </c>
      <c r="F53" s="51">
        <f t="shared" si="0"/>
        <v>-1.6918967052537856E-2</v>
      </c>
      <c r="G53" s="56">
        <f t="shared" si="1"/>
        <v>-1.5468659424855681E-2</v>
      </c>
    </row>
    <row r="54" spans="1:7" ht="13">
      <c r="A54" s="44">
        <v>38960</v>
      </c>
      <c r="B54" s="4">
        <v>561.5</v>
      </c>
      <c r="C54" s="34">
        <v>1587.08</v>
      </c>
      <c r="D54" s="62">
        <v>0</v>
      </c>
      <c r="E54" s="60">
        <v>1</v>
      </c>
      <c r="F54" s="51">
        <f t="shared" si="0"/>
        <v>9.4008767657087183E-2</v>
      </c>
      <c r="G54" s="56">
        <f t="shared" si="1"/>
        <v>0.12814097141760436</v>
      </c>
    </row>
    <row r="55" spans="1:7" ht="13">
      <c r="A55" s="44">
        <v>38929</v>
      </c>
      <c r="B55" s="38">
        <v>513.25</v>
      </c>
      <c r="C55" s="34">
        <v>1406.81</v>
      </c>
      <c r="D55" s="62">
        <v>0</v>
      </c>
      <c r="E55" s="60">
        <v>1</v>
      </c>
      <c r="F55" s="51">
        <f t="shared" si="0"/>
        <v>5.0127877237851663E-2</v>
      </c>
      <c r="G55" s="56">
        <f t="shared" si="1"/>
        <v>5.0234412326803604E-2</v>
      </c>
    </row>
    <row r="56" spans="1:7" ht="13">
      <c r="A56" s="44">
        <v>38897</v>
      </c>
      <c r="B56" s="4">
        <v>488.75</v>
      </c>
      <c r="C56" s="34">
        <v>1339.52</v>
      </c>
      <c r="D56" s="62">
        <v>0</v>
      </c>
      <c r="E56" s="60">
        <v>1</v>
      </c>
      <c r="F56" s="51">
        <f t="shared" si="0"/>
        <v>-8.4737827715355804E-2</v>
      </c>
      <c r="G56" s="56">
        <f t="shared" si="1"/>
        <v>-1.1453536426968933E-2</v>
      </c>
    </row>
    <row r="57" spans="1:7" ht="13">
      <c r="A57" s="44">
        <v>38868</v>
      </c>
      <c r="B57" s="4">
        <v>534</v>
      </c>
      <c r="C57" s="34">
        <v>1355.04</v>
      </c>
      <c r="D57" s="62">
        <v>0</v>
      </c>
      <c r="E57" s="60">
        <v>1</v>
      </c>
      <c r="F57" s="51">
        <f t="shared" si="0"/>
        <v>-1.8382352941176471E-2</v>
      </c>
      <c r="G57" s="56">
        <f t="shared" si="1"/>
        <v>-4.576608608138002E-3</v>
      </c>
    </row>
    <row r="58" spans="1:7" ht="13">
      <c r="A58" s="44">
        <v>38837</v>
      </c>
      <c r="B58" s="47">
        <v>544</v>
      </c>
      <c r="C58" s="34">
        <v>1361.27</v>
      </c>
      <c r="D58" s="62">
        <v>0</v>
      </c>
      <c r="E58" s="60">
        <v>1</v>
      </c>
      <c r="F58" s="51">
        <f t="shared" si="0"/>
        <v>-9.8217985909656025E-2</v>
      </c>
      <c r="G58" s="56">
        <f t="shared" si="1"/>
        <v>-8.7479973454352877E-2</v>
      </c>
    </row>
    <row r="59" spans="1:7" ht="13">
      <c r="A59" s="44">
        <v>38806</v>
      </c>
      <c r="B59" s="47">
        <v>603.25</v>
      </c>
      <c r="C59" s="34">
        <v>1491.77</v>
      </c>
      <c r="D59" s="62">
        <v>0</v>
      </c>
      <c r="E59" s="60">
        <v>1</v>
      </c>
      <c r="F59" s="51">
        <f t="shared" si="0"/>
        <v>2.1591871295512276E-2</v>
      </c>
      <c r="G59" s="56">
        <f t="shared" si="1"/>
        <v>-2.5897363901712829E-2</v>
      </c>
    </row>
    <row r="60" spans="1:7" ht="13">
      <c r="A60" s="44">
        <v>38776</v>
      </c>
      <c r="B60" s="38">
        <v>590.5</v>
      </c>
      <c r="C60" s="34">
        <v>1531.43</v>
      </c>
      <c r="D60" s="62">
        <v>0</v>
      </c>
      <c r="E60" s="60">
        <v>1</v>
      </c>
      <c r="F60" s="51">
        <f t="shared" si="0"/>
        <v>-2.7983539094650206E-2</v>
      </c>
      <c r="G60" s="56">
        <f t="shared" si="1"/>
        <v>-6.8099115216571041E-2</v>
      </c>
    </row>
    <row r="61" spans="1:7" ht="13">
      <c r="A61" s="44">
        <v>38748</v>
      </c>
      <c r="B61" s="38">
        <v>607.5</v>
      </c>
      <c r="C61" s="34">
        <v>1643.34</v>
      </c>
      <c r="D61" s="62">
        <v>0</v>
      </c>
      <c r="E61" s="60">
        <v>1</v>
      </c>
      <c r="F61" s="18"/>
      <c r="G61" s="18"/>
    </row>
    <row r="64" spans="1:7">
      <c r="A64" s="57" t="s">
        <v>52</v>
      </c>
      <c r="B64" s="57">
        <f>COVAR(F2:F60,G2:G60)</f>
        <v>1.6890261847805777E-3</v>
      </c>
      <c r="C64" s="8" t="s">
        <v>169</v>
      </c>
    </row>
    <row r="65" spans="1:22">
      <c r="A65" s="57" t="s">
        <v>53</v>
      </c>
      <c r="B65" s="57">
        <f>VAR(G2:G60)</f>
        <v>5.4741571423345793E-3</v>
      </c>
      <c r="C65" s="8" t="s">
        <v>170</v>
      </c>
    </row>
    <row r="66" spans="1:22">
      <c r="A66" s="57" t="s">
        <v>54</v>
      </c>
      <c r="B66" s="57">
        <f>B64/B65</f>
        <v>0.308545432815298</v>
      </c>
      <c r="C66" s="8" t="s">
        <v>171</v>
      </c>
    </row>
    <row r="67" spans="1:22">
      <c r="A67" s="57" t="s">
        <v>65</v>
      </c>
      <c r="B67" s="58">
        <f>B66*0.67+1*0.33</f>
        <v>0.53672543998624966</v>
      </c>
      <c r="C67" s="8" t="s">
        <v>172</v>
      </c>
    </row>
    <row r="68" spans="1:22">
      <c r="A68" s="57" t="s">
        <v>55</v>
      </c>
      <c r="B68" s="58">
        <f>AVERAGE(G2:G60)</f>
        <v>3.0325562864957006E-2</v>
      </c>
    </row>
    <row r="69" spans="1:22">
      <c r="A69" s="8" t="s">
        <v>56</v>
      </c>
      <c r="B69" s="22">
        <f>B68*12</f>
        <v>0.36390675437948405</v>
      </c>
    </row>
    <row r="71" spans="1:22">
      <c r="A71" s="8" t="s">
        <v>57</v>
      </c>
      <c r="B71" s="8">
        <v>0.08</v>
      </c>
      <c r="C71" s="8" t="s">
        <v>166</v>
      </c>
    </row>
    <row r="72" spans="1:22">
      <c r="A72" s="8" t="s">
        <v>55</v>
      </c>
      <c r="B72" s="22">
        <f>B69</f>
        <v>0.36390675437948405</v>
      </c>
      <c r="C72" s="8" t="s">
        <v>167</v>
      </c>
    </row>
    <row r="73" spans="1:22">
      <c r="A73" s="8" t="s">
        <v>58</v>
      </c>
      <c r="B73" s="23">
        <f>B71+(B72-B71)*B67</f>
        <v>0.23237997765939666</v>
      </c>
      <c r="C73" s="8" t="s">
        <v>168</v>
      </c>
    </row>
    <row r="77" spans="1:22">
      <c r="A77" s="18" t="s">
        <v>0</v>
      </c>
      <c r="B77" s="18" t="s">
        <v>66</v>
      </c>
      <c r="C77" s="18" t="s">
        <v>67</v>
      </c>
      <c r="D77" s="18" t="s">
        <v>68</v>
      </c>
      <c r="E77" s="18" t="s">
        <v>69</v>
      </c>
      <c r="F77" s="18" t="s">
        <v>70</v>
      </c>
      <c r="G77" s="18">
        <v>2011</v>
      </c>
      <c r="H77" s="76">
        <v>2012</v>
      </c>
      <c r="I77" s="18">
        <v>2013</v>
      </c>
    </row>
    <row r="78" spans="1:22">
      <c r="A78" s="27" t="s">
        <v>48</v>
      </c>
      <c r="B78" s="63">
        <f>'Balance sheet '!B15+'Balance sheet '!B17+'Balance sheet '!B18</f>
        <v>295083375</v>
      </c>
      <c r="C78" s="63">
        <f>'Balance sheet '!C15+'Balance sheet '!C17+'Balance sheet '!C18</f>
        <v>218268554</v>
      </c>
      <c r="D78" s="63">
        <f>'Balance sheet '!D15+'Balance sheet '!D17+'Balance sheet '!D18</f>
        <v>285387500</v>
      </c>
      <c r="E78" s="63">
        <f>'Balance sheet '!E15+'Balance sheet '!E17+'Balance sheet '!E18</f>
        <v>182731710</v>
      </c>
      <c r="F78" s="63">
        <f>'Balance sheet '!F15+'Balance sheet '!F17+'Balance sheet '!F18</f>
        <v>242914945</v>
      </c>
      <c r="G78" s="26">
        <f>'Proforma Balance sheet'!C15+'Proforma Balance sheet'!C17+'Proforma Balance sheet'!C18</f>
        <v>385081067.5815016</v>
      </c>
      <c r="H78" s="26">
        <f>'Proforma Balance sheet'!D15+'Proforma Balance sheet'!D17+'Proforma Balance sheet'!D18</f>
        <v>432566463.79605234</v>
      </c>
      <c r="I78" s="26">
        <f>'Proforma Balance sheet'!E15+'Proforma Balance sheet'!E17+'Proforma Balance sheet'!E18</f>
        <v>494178114.8442142</v>
      </c>
      <c r="J78" s="98" t="s">
        <v>175</v>
      </c>
      <c r="K78" s="98"/>
      <c r="L78" s="98"/>
      <c r="M78" s="98"/>
      <c r="N78" s="98"/>
      <c r="O78" s="98"/>
      <c r="P78" s="98"/>
      <c r="Q78" s="98"/>
      <c r="R78" s="98"/>
      <c r="S78" s="8"/>
      <c r="T78" s="8"/>
      <c r="U78" s="8"/>
      <c r="V78" s="8"/>
    </row>
    <row r="79" spans="1:22">
      <c r="A79" s="8" t="s">
        <v>49</v>
      </c>
      <c r="B79" s="18"/>
      <c r="C79" s="18">
        <f>(B78+C78)/2</f>
        <v>256675964.5</v>
      </c>
      <c r="D79" s="80">
        <f t="shared" ref="D79:F79" si="2">(C78+D78)/2</f>
        <v>251828027</v>
      </c>
      <c r="E79" s="80">
        <f t="shared" si="2"/>
        <v>234059605</v>
      </c>
      <c r="F79" s="80">
        <f t="shared" si="2"/>
        <v>212823327.5</v>
      </c>
      <c r="G79" s="18">
        <f t="shared" ref="G79" si="3">(F78+G78)/2</f>
        <v>313998006.2907508</v>
      </c>
      <c r="H79" s="76">
        <f t="shared" ref="H79" si="4">(G78+H78)/2</f>
        <v>408823765.68877697</v>
      </c>
      <c r="I79" s="18">
        <f t="shared" ref="I79" si="5">(H78+I78)/2</f>
        <v>463372289.32013327</v>
      </c>
      <c r="J79" s="12" t="s">
        <v>177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>
      <c r="A80" s="8" t="s">
        <v>50</v>
      </c>
      <c r="B80" s="18"/>
      <c r="C80" s="54">
        <f>'Income statement '!C8/'Discount rate'!C79</f>
        <v>0.14388198782827599</v>
      </c>
      <c r="D80" s="54">
        <f>'Income statement '!D8/'Discount rate'!D79</f>
        <v>0.13646008114895011</v>
      </c>
      <c r="E80" s="54">
        <f>'Income statement '!E8/'Discount rate'!E79</f>
        <v>0.16007884829165631</v>
      </c>
      <c r="F80" s="54">
        <f>'Income statement '!F8/'Discount rate'!F79</f>
        <v>0.15234165061158533</v>
      </c>
      <c r="G80" s="18"/>
      <c r="H80" s="76"/>
      <c r="I80" s="18"/>
      <c r="J80" s="98" t="s">
        <v>176</v>
      </c>
      <c r="K80" s="98"/>
      <c r="L80" s="98"/>
      <c r="M80" s="98"/>
      <c r="N80" s="98"/>
      <c r="O80" s="98"/>
      <c r="P80" s="98"/>
      <c r="Q80" s="98"/>
      <c r="R80" s="8"/>
      <c r="S80" s="8"/>
      <c r="T80" s="8"/>
      <c r="U80" s="8"/>
      <c r="V80" s="8"/>
    </row>
    <row r="81" spans="1:22">
      <c r="A81" s="8" t="s">
        <v>71</v>
      </c>
      <c r="B81" s="18"/>
      <c r="C81" s="18"/>
      <c r="D81" s="18"/>
      <c r="E81" s="18"/>
      <c r="F81" s="52">
        <f>AVERAGE(C80:F80)</f>
        <v>0.14819064197011694</v>
      </c>
      <c r="G81" s="52">
        <f>F81</f>
        <v>0.14819064197011694</v>
      </c>
      <c r="H81" s="77">
        <f>G81</f>
        <v>0.14819064197011694</v>
      </c>
      <c r="I81" s="52">
        <f>H81</f>
        <v>0.14819064197011694</v>
      </c>
      <c r="J81" s="98" t="s">
        <v>204</v>
      </c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8"/>
    </row>
    <row r="84" spans="1:22">
      <c r="A84" s="8" t="s">
        <v>72</v>
      </c>
      <c r="B84" s="64">
        <f>B2</f>
        <v>2613.5</v>
      </c>
    </row>
    <row r="85" spans="1:22">
      <c r="A85" s="8" t="s">
        <v>73</v>
      </c>
      <c r="B85" s="40">
        <f>'Balance sheet '!F29</f>
        <v>720816</v>
      </c>
      <c r="C85" s="98" t="s">
        <v>164</v>
      </c>
      <c r="D85" s="98"/>
      <c r="E85" s="98"/>
    </row>
    <row r="86" spans="1:22">
      <c r="A86" s="8" t="s">
        <v>74</v>
      </c>
      <c r="B86" s="66">
        <f>B84*B85</f>
        <v>1883852616</v>
      </c>
      <c r="C86" s="8" t="s">
        <v>163</v>
      </c>
      <c r="D86" s="8"/>
      <c r="E86" s="8"/>
    </row>
    <row r="87" spans="1:22">
      <c r="A87" s="8" t="s">
        <v>75</v>
      </c>
      <c r="B87" s="66">
        <f>F78</f>
        <v>242914945</v>
      </c>
    </row>
    <row r="88" spans="1:22">
      <c r="A88" s="8" t="s">
        <v>122</v>
      </c>
      <c r="B88" s="66">
        <f>B86+B87</f>
        <v>2126767561</v>
      </c>
    </row>
    <row r="89" spans="1:22">
      <c r="A89" s="8" t="s">
        <v>76</v>
      </c>
      <c r="B89" s="65">
        <f>B86/B88</f>
        <v>0.88578209041058431</v>
      </c>
      <c r="C89" s="8" t="s">
        <v>161</v>
      </c>
    </row>
    <row r="90" spans="1:22">
      <c r="A90" s="8" t="s">
        <v>77</v>
      </c>
      <c r="B90" s="65">
        <f>1-B89</f>
        <v>0.11421790958941569</v>
      </c>
      <c r="C90" s="8" t="s">
        <v>162</v>
      </c>
    </row>
    <row r="93" spans="1:22">
      <c r="A93" s="8" t="s">
        <v>78</v>
      </c>
      <c r="B93" s="23">
        <f>B89*B73+B90*F81*(1-Calculation!G9)</f>
        <v>0.21796228186591121</v>
      </c>
      <c r="C93" s="24" t="s">
        <v>160</v>
      </c>
      <c r="D93" s="25"/>
      <c r="E93" s="25"/>
      <c r="F93" s="25"/>
      <c r="G93" s="25"/>
      <c r="H93" s="25"/>
    </row>
    <row r="94" spans="1:22">
      <c r="A94" s="8"/>
      <c r="B94" s="8"/>
    </row>
    <row r="95" spans="1:22">
      <c r="A95" s="8" t="s">
        <v>79</v>
      </c>
      <c r="B95" s="23">
        <v>7.0000000000000007E-2</v>
      </c>
    </row>
    <row r="96" spans="1:22">
      <c r="A96" s="8" t="s">
        <v>80</v>
      </c>
      <c r="B96" s="23">
        <v>0.06</v>
      </c>
    </row>
    <row r="97" spans="1:2">
      <c r="A97" s="8" t="s">
        <v>81</v>
      </c>
      <c r="B97" s="23">
        <f>B95+B96</f>
        <v>0.13</v>
      </c>
    </row>
  </sheetData>
  <mergeCells count="7">
    <mergeCell ref="J81:U81"/>
    <mergeCell ref="C85:E85"/>
    <mergeCell ref="H2:O2"/>
    <mergeCell ref="H3:P3"/>
    <mergeCell ref="H4:M4"/>
    <mergeCell ref="J78:R78"/>
    <mergeCell ref="J80:Q80"/>
  </mergeCells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12" sqref="C12:E12"/>
    </sheetView>
  </sheetViews>
  <sheetFormatPr baseColWidth="10" defaultColWidth="8.83203125" defaultRowHeight="12" x14ac:dyDescent="0"/>
  <cols>
    <col min="1" max="1" width="29.1640625" customWidth="1"/>
    <col min="2" max="2" width="15.33203125" customWidth="1"/>
    <col min="3" max="3" width="12.33203125" customWidth="1"/>
    <col min="4" max="4" width="12.5" customWidth="1"/>
    <col min="5" max="5" width="11.83203125" customWidth="1"/>
    <col min="6" max="6" width="77.5" customWidth="1"/>
  </cols>
  <sheetData>
    <row r="1" spans="1:6">
      <c r="A1" s="14" t="s">
        <v>0</v>
      </c>
      <c r="B1" s="1">
        <v>2010</v>
      </c>
      <c r="C1" s="6">
        <v>2011</v>
      </c>
      <c r="D1" s="6">
        <v>2012</v>
      </c>
      <c r="E1" s="6">
        <v>2013</v>
      </c>
      <c r="F1" s="13" t="s">
        <v>179</v>
      </c>
    </row>
    <row r="2" spans="1:6">
      <c r="A2" s="18" t="s">
        <v>1</v>
      </c>
      <c r="B2" s="16">
        <v>622571342</v>
      </c>
      <c r="C2" s="15">
        <f>B2*(1+Calculation!G2)</f>
        <v>746183806.10810256</v>
      </c>
      <c r="D2" s="15">
        <f>C2*(1+Calculation!H2)</f>
        <v>894339708.4570179</v>
      </c>
      <c r="E2" s="15">
        <f>D2*(1+Calculation!I2)</f>
        <v>1071912185.1420979</v>
      </c>
      <c r="F2" t="s">
        <v>194</v>
      </c>
    </row>
    <row r="3" spans="1:6">
      <c r="A3" s="19" t="s">
        <v>2</v>
      </c>
      <c r="B3" s="17">
        <v>476340355</v>
      </c>
      <c r="C3" s="15">
        <f>C2*Calculation!G3</f>
        <v>582593029.61179113</v>
      </c>
      <c r="D3" s="15">
        <f>D2*Calculation!H3</f>
        <v>698267740.45082331</v>
      </c>
      <c r="E3" s="15">
        <f>E2*Calculation!I3</f>
        <v>836909836.83617747</v>
      </c>
      <c r="F3" t="s">
        <v>195</v>
      </c>
    </row>
    <row r="4" spans="1:6">
      <c r="A4" s="19" t="s">
        <v>3</v>
      </c>
      <c r="B4" s="17">
        <f>B2-B3</f>
        <v>146230987</v>
      </c>
      <c r="C4" s="15">
        <f>C2-C3</f>
        <v>163590776.49631143</v>
      </c>
      <c r="D4" s="15">
        <f t="shared" ref="D4:E4" si="0">D2-D3</f>
        <v>196071968.00619459</v>
      </c>
      <c r="E4" s="15">
        <f t="shared" si="0"/>
        <v>235002348.30592048</v>
      </c>
      <c r="F4" t="s">
        <v>197</v>
      </c>
    </row>
    <row r="5" spans="1:6">
      <c r="A5" s="19" t="s">
        <v>4</v>
      </c>
      <c r="B5" s="17">
        <v>65098163</v>
      </c>
      <c r="C5" s="15">
        <f>C2*Calculation!G4</f>
        <v>47765553.023590133</v>
      </c>
      <c r="D5" s="15">
        <f>D2*Calculation!H4</f>
        <v>57249474.480309233</v>
      </c>
      <c r="E5" s="15">
        <f>E2*Calculation!I4</f>
        <v>68616442.620331571</v>
      </c>
      <c r="F5" t="s">
        <v>196</v>
      </c>
    </row>
    <row r="6" spans="1:6">
      <c r="A6" s="19" t="s">
        <v>5</v>
      </c>
      <c r="B6" s="17">
        <f>B4-B5</f>
        <v>81132824</v>
      </c>
      <c r="C6" s="15">
        <f>C4-C5</f>
        <v>115825223.47272129</v>
      </c>
      <c r="D6" s="15">
        <f t="shared" ref="D6:E6" si="1">D4-D5</f>
        <v>138822493.52588534</v>
      </c>
      <c r="E6" s="15">
        <f t="shared" si="1"/>
        <v>166385905.6855889</v>
      </c>
      <c r="F6" t="s">
        <v>197</v>
      </c>
    </row>
    <row r="7" spans="1:6">
      <c r="A7" s="19" t="s">
        <v>6</v>
      </c>
      <c r="B7" s="17">
        <v>12305433</v>
      </c>
      <c r="C7" s="15">
        <f>'Proforma Balance sheet'!C3*Calculation!G6</f>
        <v>49091141.289895773</v>
      </c>
      <c r="D7" s="15">
        <f>'Proforma Balance sheet'!D3*Calculation!H6</f>
        <v>52399151.385383792</v>
      </c>
      <c r="E7" s="15">
        <f>'Proforma Balance sheet'!E3*Calculation!I6</f>
        <v>55930071.979677089</v>
      </c>
      <c r="F7" t="s">
        <v>198</v>
      </c>
    </row>
    <row r="8" spans="1:6">
      <c r="A8" s="19" t="s">
        <v>12</v>
      </c>
      <c r="B8" s="17">
        <v>20626830</v>
      </c>
      <c r="C8" s="15">
        <f>'Discount rate'!G79*'Discount rate'!G81</f>
        <v>46531566.129563183</v>
      </c>
      <c r="D8" s="15">
        <f>'Discount rate'!H79*'Discount rate'!H81</f>
        <v>60583856.290060528</v>
      </c>
      <c r="E8" s="15">
        <f>'Discount rate'!I79*'Discount rate'!I81</f>
        <v>68667437.025513306</v>
      </c>
      <c r="F8" t="s">
        <v>199</v>
      </c>
    </row>
    <row r="9" spans="1:6">
      <c r="A9" s="19" t="s">
        <v>7</v>
      </c>
      <c r="B9" s="17">
        <v>28339696</v>
      </c>
      <c r="C9" s="15">
        <f>C6+C7-C8</f>
        <v>118384798.63305387</v>
      </c>
      <c r="D9" s="15">
        <f t="shared" ref="D9:E9" si="2">D6+D7-D8</f>
        <v>130637788.62120861</v>
      </c>
      <c r="E9" s="15">
        <f t="shared" si="2"/>
        <v>153648540.63975269</v>
      </c>
      <c r="F9" t="s">
        <v>197</v>
      </c>
    </row>
    <row r="10" spans="1:6">
      <c r="A10" s="19" t="s">
        <v>8</v>
      </c>
      <c r="B10" s="17">
        <v>4082161</v>
      </c>
      <c r="C10" s="15">
        <f>C9*Calculation!G9</f>
        <v>33584735.514609836</v>
      </c>
      <c r="D10" s="15">
        <f>D9*Calculation!H9</f>
        <v>35108591.483474806</v>
      </c>
      <c r="E10" s="15">
        <f>E9*Calculation!I9</f>
        <v>39115301.448017821</v>
      </c>
      <c r="F10" t="s">
        <v>200</v>
      </c>
    </row>
    <row r="11" spans="1:6">
      <c r="A11" s="19" t="s">
        <v>9</v>
      </c>
      <c r="B11" s="17">
        <f>B6+B7+B8-B9-B10</f>
        <v>81643230</v>
      </c>
      <c r="C11" s="15">
        <f>C9-C10</f>
        <v>84800063.118444026</v>
      </c>
      <c r="D11" s="15">
        <f t="shared" ref="D11:E11" si="3">D9-D10</f>
        <v>95529197.137733802</v>
      </c>
      <c r="E11" s="15">
        <f t="shared" si="3"/>
        <v>114533239.19173487</v>
      </c>
      <c r="F11" t="s">
        <v>197</v>
      </c>
    </row>
    <row r="12" spans="1:6">
      <c r="A12" s="19" t="s">
        <v>10</v>
      </c>
      <c r="B12" s="17">
        <v>19893588</v>
      </c>
      <c r="C12" s="15">
        <f>C11*Calculation!G10</f>
        <v>40906436.259977989</v>
      </c>
      <c r="D12" s="15">
        <f>D11*Calculation!H10</f>
        <v>44108960.856594846</v>
      </c>
      <c r="E12" s="15">
        <f>E11*Calculation!I10</f>
        <v>56284520.4955419</v>
      </c>
      <c r="F12" t="s">
        <v>201</v>
      </c>
    </row>
    <row r="13" spans="1:6">
      <c r="A13" s="19" t="s">
        <v>11</v>
      </c>
      <c r="B13" s="17">
        <f>B11-B12</f>
        <v>61749642</v>
      </c>
      <c r="C13" s="15">
        <f>C11-C12</f>
        <v>43893626.858466037</v>
      </c>
      <c r="D13" s="15">
        <f t="shared" ref="D13:E13" si="4">D11-D12</f>
        <v>51420236.281138957</v>
      </c>
      <c r="E13" s="15">
        <f t="shared" si="4"/>
        <v>58248718.696192965</v>
      </c>
      <c r="F13" t="s">
        <v>202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7" workbookViewId="0">
      <selection activeCell="C18" sqref="C18"/>
    </sheetView>
  </sheetViews>
  <sheetFormatPr baseColWidth="10" defaultColWidth="8.83203125" defaultRowHeight="12" x14ac:dyDescent="0"/>
  <cols>
    <col min="1" max="1" width="29" customWidth="1"/>
    <col min="2" max="2" width="12.83203125" customWidth="1"/>
    <col min="3" max="3" width="13.5" customWidth="1"/>
    <col min="4" max="4" width="12.6640625" customWidth="1"/>
    <col min="5" max="5" width="12.5" customWidth="1"/>
    <col min="6" max="6" width="91.33203125" customWidth="1"/>
  </cols>
  <sheetData>
    <row r="1" spans="1:6">
      <c r="A1" s="13" t="s">
        <v>13</v>
      </c>
      <c r="B1" s="13">
        <v>2010</v>
      </c>
      <c r="C1" s="21">
        <v>2011</v>
      </c>
      <c r="D1" s="21">
        <v>2012</v>
      </c>
      <c r="E1" s="21">
        <v>2013</v>
      </c>
      <c r="F1" s="13" t="s">
        <v>179</v>
      </c>
    </row>
    <row r="2" spans="1:6">
      <c r="A2" s="18" t="s">
        <v>14</v>
      </c>
      <c r="B2" s="18">
        <v>102652877</v>
      </c>
      <c r="C2" s="94">
        <f>B2+10000000-Calculation!G12</f>
        <v>92284683.668502972</v>
      </c>
      <c r="D2" s="94">
        <f>C2+10000000-Calculation!H12</f>
        <v>80390860.005508929</v>
      </c>
      <c r="E2" s="94">
        <f>D2+10000000-Calculation!I12</f>
        <v>66971406.011017859</v>
      </c>
      <c r="F2" t="s">
        <v>178</v>
      </c>
    </row>
    <row r="3" spans="1:6">
      <c r="A3" s="18" t="s">
        <v>15</v>
      </c>
      <c r="B3" s="18">
        <v>843505287</v>
      </c>
      <c r="C3" s="81">
        <f>B3*(1+Calculation!G5)</f>
        <v>900344951.58461308</v>
      </c>
      <c r="D3" s="81">
        <f>C3*(1+Calculation!H5)</f>
        <v>961014761.06562829</v>
      </c>
      <c r="E3" s="81">
        <f>D3*(1+Calculation!I5)</f>
        <v>1025772810.0330586</v>
      </c>
      <c r="F3" t="s">
        <v>205</v>
      </c>
    </row>
    <row r="4" spans="1:6">
      <c r="A4" s="14" t="s">
        <v>16</v>
      </c>
      <c r="B4" s="14">
        <f>B2+B3</f>
        <v>946158164</v>
      </c>
      <c r="C4" s="91">
        <f>C2+C3</f>
        <v>992629635.25311601</v>
      </c>
      <c r="D4" s="91">
        <f t="shared" ref="D4:E4" si="0">D2+D3</f>
        <v>1041405621.0711372</v>
      </c>
      <c r="E4" s="91">
        <f t="shared" si="0"/>
        <v>1092744216.0440764</v>
      </c>
    </row>
    <row r="5" spans="1:6">
      <c r="A5" s="18" t="s">
        <v>17</v>
      </c>
      <c r="B5" s="18">
        <v>128611091</v>
      </c>
      <c r="C5" s="91">
        <f>'Proforma Income statement '!C2*Calculation!G14</f>
        <v>144845196.10020351</v>
      </c>
      <c r="D5" s="91">
        <f>'Proforma Income statement '!D2*Calculation!H14</f>
        <v>173604424.79622576</v>
      </c>
      <c r="E5" s="91">
        <f>'Proforma Income statement '!E2*Calculation!I14</f>
        <v>208073841.04046276</v>
      </c>
      <c r="F5" t="s">
        <v>182</v>
      </c>
    </row>
    <row r="6" spans="1:6">
      <c r="A6" s="18" t="s">
        <v>18</v>
      </c>
      <c r="B6" s="18">
        <v>236000082</v>
      </c>
      <c r="C6" s="91">
        <f>'Proforma Income statement '!C2*Calculation!G15</f>
        <v>401368854.06041962</v>
      </c>
      <c r="D6" s="91">
        <f>'Proforma Income statement '!D2*Calculation!H15</f>
        <v>481061235.83191127</v>
      </c>
      <c r="E6" s="91">
        <f>'Proforma Income statement '!E2*Calculation!I15</f>
        <v>576576658.30066919</v>
      </c>
      <c r="F6" t="s">
        <v>183</v>
      </c>
    </row>
    <row r="7" spans="1:6">
      <c r="A7" s="18" t="s">
        <v>19</v>
      </c>
      <c r="B7" s="18">
        <v>8971248</v>
      </c>
      <c r="C7" s="91">
        <f>'Proforma Income statement '!C2*Calculation!G16</f>
        <v>8232280.4374486189</v>
      </c>
      <c r="D7" s="91">
        <f>'Proforma Income statement '!D2*Calculation!H16</f>
        <v>9866811.9384214859</v>
      </c>
      <c r="E7" s="91">
        <f>'Proforma Income statement '!E2*Calculation!I16</f>
        <v>11825882.095234973</v>
      </c>
      <c r="F7" t="s">
        <v>184</v>
      </c>
    </row>
    <row r="8" spans="1:6">
      <c r="A8" s="18" t="s">
        <v>20</v>
      </c>
      <c r="B8" s="18">
        <v>205814738</v>
      </c>
      <c r="C8" s="91">
        <f>C9-C5-C6-C7</f>
        <v>201595192.42697662</v>
      </c>
      <c r="D8" s="91">
        <f t="shared" ref="D8:E8" si="1">D9-D5-D6-D7</f>
        <v>220230062.1692391</v>
      </c>
      <c r="E8" s="91">
        <f t="shared" si="1"/>
        <v>211915691.01480976</v>
      </c>
      <c r="F8" t="s">
        <v>185</v>
      </c>
    </row>
    <row r="9" spans="1:6">
      <c r="A9" s="14" t="s">
        <v>21</v>
      </c>
      <c r="B9" s="14">
        <f>B5+B6+B7+B8</f>
        <v>579397159</v>
      </c>
      <c r="C9" s="91">
        <f>C10-C4</f>
        <v>756041523.02504838</v>
      </c>
      <c r="D9" s="91">
        <f t="shared" ref="D9:E9" si="2">D10-D4</f>
        <v>884762534.73579764</v>
      </c>
      <c r="E9" s="91">
        <f t="shared" si="2"/>
        <v>1008392072.4511766</v>
      </c>
    </row>
    <row r="10" spans="1:6">
      <c r="A10" s="14" t="s">
        <v>22</v>
      </c>
      <c r="B10" s="14">
        <f>B9+B4</f>
        <v>1525555323</v>
      </c>
      <c r="C10" s="91">
        <f>C24</f>
        <v>1748671158.2781644</v>
      </c>
      <c r="D10" s="91">
        <f t="shared" ref="D10:E10" si="3">D24</f>
        <v>1926168155.8069348</v>
      </c>
      <c r="E10" s="91">
        <f t="shared" si="3"/>
        <v>2101136288.4952531</v>
      </c>
    </row>
    <row r="11" spans="1:6">
      <c r="A11" s="18"/>
      <c r="B11" s="18"/>
      <c r="C11" s="20"/>
      <c r="D11" s="20"/>
      <c r="E11" s="20"/>
    </row>
    <row r="12" spans="1:6">
      <c r="A12" s="18" t="s">
        <v>23</v>
      </c>
      <c r="B12" s="18">
        <v>72081600</v>
      </c>
      <c r="C12" s="81">
        <f>B12</f>
        <v>72081600</v>
      </c>
      <c r="D12" s="81">
        <f t="shared" ref="D12:E12" si="4">C12</f>
        <v>72081600</v>
      </c>
      <c r="E12" s="81">
        <f t="shared" si="4"/>
        <v>72081600</v>
      </c>
      <c r="F12" t="s">
        <v>180</v>
      </c>
    </row>
    <row r="13" spans="1:6">
      <c r="A13" s="18" t="s">
        <v>24</v>
      </c>
      <c r="B13" s="18">
        <v>1048657244</v>
      </c>
      <c r="C13" s="81">
        <f>B13+'Proforma Income statement '!C13</f>
        <v>1092550870.8584661</v>
      </c>
      <c r="D13" s="81">
        <f>C13+'Proforma Income statement '!D13</f>
        <v>1143971107.139605</v>
      </c>
      <c r="E13" s="81">
        <f>D13+'Proforma Income statement '!E13</f>
        <v>1202219825.835798</v>
      </c>
      <c r="F13" t="s">
        <v>203</v>
      </c>
    </row>
    <row r="14" spans="1:6">
      <c r="A14" s="14" t="s">
        <v>25</v>
      </c>
      <c r="B14" s="14">
        <f>B12+B13</f>
        <v>1120738844</v>
      </c>
      <c r="C14" s="81">
        <f>C12+C13</f>
        <v>1164632470.8584661</v>
      </c>
      <c r="D14" s="81">
        <f t="shared" ref="D14:E14" si="5">D12+D13</f>
        <v>1216052707.139605</v>
      </c>
      <c r="E14" s="81">
        <f t="shared" si="5"/>
        <v>1274301425.835798</v>
      </c>
    </row>
    <row r="15" spans="1:6">
      <c r="A15" s="18" t="s">
        <v>26</v>
      </c>
      <c r="B15" s="18">
        <v>80547283</v>
      </c>
      <c r="C15" s="81">
        <f>(B15+1000000)*(1-Calculation!G8)</f>
        <v>67765595.71590589</v>
      </c>
      <c r="D15" s="81">
        <f>(C15+1000000)*(1-Calculation!H8)</f>
        <v>57144044.375427052</v>
      </c>
      <c r="E15" s="81">
        <f>(D15+1000000)*(1-Calculation!I8)</f>
        <v>48317560.800068364</v>
      </c>
      <c r="F15" t="s">
        <v>181</v>
      </c>
    </row>
    <row r="16" spans="1:6">
      <c r="A16" s="14" t="s">
        <v>27</v>
      </c>
      <c r="B16" s="14">
        <f>SUM(B15:B15)</f>
        <v>80547283</v>
      </c>
      <c r="C16" s="81">
        <f>C15</f>
        <v>67765595.71590589</v>
      </c>
      <c r="D16" s="81">
        <f t="shared" ref="D16:E16" si="6">D15</f>
        <v>57144044.375427052</v>
      </c>
      <c r="E16" s="81">
        <f t="shared" si="6"/>
        <v>48317560.800068364</v>
      </c>
    </row>
    <row r="17" spans="1:6">
      <c r="A17" s="18" t="s">
        <v>28</v>
      </c>
      <c r="B17" s="18">
        <v>147858218</v>
      </c>
      <c r="C17" s="81">
        <f>'Proforma Income statement '!C2*Calculation!G7</f>
        <v>303533784.5815016</v>
      </c>
      <c r="D17" s="81">
        <f>'Proforma Income statement '!D2*Calculation!H7</f>
        <v>363800868.08014643</v>
      </c>
      <c r="E17" s="81">
        <f>'Proforma Income statement '!E2*Calculation!I7</f>
        <v>436034070.46878713</v>
      </c>
      <c r="F17" t="s">
        <v>186</v>
      </c>
    </row>
    <row r="18" spans="1:6">
      <c r="A18" s="18" t="s">
        <v>29</v>
      </c>
      <c r="B18" s="18">
        <v>14509444</v>
      </c>
      <c r="C18" s="81">
        <f>(B15+1000000)*Calculation!G8</f>
        <v>13781687.284094118</v>
      </c>
      <c r="D18" s="81">
        <f>(C15+1000000)*Calculation!H8</f>
        <v>11621551.340478837</v>
      </c>
      <c r="E18" s="81">
        <f>(D15+1000000)*Calculation!I8</f>
        <v>9826483.5753586926</v>
      </c>
      <c r="F18" t="s">
        <v>187</v>
      </c>
    </row>
    <row r="19" spans="1:6">
      <c r="A19" s="18" t="s">
        <v>30</v>
      </c>
      <c r="B19" s="18">
        <v>39397112</v>
      </c>
      <c r="C19" s="91">
        <f>'Proforma Income statement '!C2*Calculation!G17</f>
        <v>50258299.286098033</v>
      </c>
      <c r="D19" s="91">
        <f>'Proforma Income statement '!D2*Calculation!H17</f>
        <v>60237159.213507079</v>
      </c>
      <c r="E19" s="91">
        <f>'Proforma Income statement '!E2*Calculation!I17</f>
        <v>72197336.59226875</v>
      </c>
      <c r="F19" t="s">
        <v>184</v>
      </c>
    </row>
    <row r="20" spans="1:6">
      <c r="A20" s="18" t="s">
        <v>31</v>
      </c>
      <c r="B20" s="18">
        <v>6737950</v>
      </c>
      <c r="C20" s="91">
        <f>'Proforma Income statement '!C2*Calculation!G18</f>
        <v>9947243.6910551488</v>
      </c>
      <c r="D20" s="91">
        <f>'Proforma Income statement '!D2*Calculation!H18</f>
        <v>11922283.69174812</v>
      </c>
      <c r="E20" s="91">
        <f>'Proforma Income statement '!E2*Calculation!I18</f>
        <v>14289470.816356933</v>
      </c>
      <c r="F20" t="s">
        <v>188</v>
      </c>
    </row>
    <row r="21" spans="1:6">
      <c r="A21" s="18" t="s">
        <v>32</v>
      </c>
      <c r="B21" s="18">
        <v>115766472</v>
      </c>
      <c r="C21" s="91">
        <f>'Proforma Income statement '!C2*Calculation!F19</f>
        <v>138752076.86104363</v>
      </c>
      <c r="D21" s="91">
        <f>'Proforma Income statement '!D2*Calculation!G19</f>
        <v>205389541.96602246</v>
      </c>
      <c r="E21" s="91">
        <f>'Proforma Income statement '!E2*Calculation!H19</f>
        <v>246169940.40661526</v>
      </c>
      <c r="F21" t="s">
        <v>189</v>
      </c>
    </row>
    <row r="22" spans="1:6">
      <c r="A22" s="14" t="s">
        <v>33</v>
      </c>
      <c r="B22" s="14">
        <f>SUM(B17:B21)</f>
        <v>324269196</v>
      </c>
      <c r="C22" s="91">
        <f>C17+C18+C19+C20+C21</f>
        <v>516273091.70379251</v>
      </c>
      <c r="D22" s="91">
        <f t="shared" ref="D22:E22" si="7">D17+D18+D19+D20+D21</f>
        <v>652971404.2919029</v>
      </c>
      <c r="E22" s="91">
        <f t="shared" si="7"/>
        <v>778517301.8593868</v>
      </c>
    </row>
    <row r="23" spans="1:6">
      <c r="A23" s="14" t="s">
        <v>34</v>
      </c>
      <c r="B23" s="14">
        <f>B22+B16</f>
        <v>404816479</v>
      </c>
      <c r="C23" s="91">
        <f>C22+C16</f>
        <v>584038687.41969836</v>
      </c>
      <c r="D23" s="91">
        <f t="shared" ref="D23:E23" si="8">D22+D16</f>
        <v>710115448.66732991</v>
      </c>
      <c r="E23" s="91">
        <f t="shared" si="8"/>
        <v>826834862.65945518</v>
      </c>
    </row>
    <row r="24" spans="1:6">
      <c r="A24" s="14" t="s">
        <v>35</v>
      </c>
      <c r="B24" s="14">
        <f>B23+B14</f>
        <v>1525555323</v>
      </c>
      <c r="C24" s="91">
        <f>C14+C23</f>
        <v>1748671158.2781644</v>
      </c>
      <c r="D24" s="91">
        <f t="shared" ref="D24:E24" si="9">D14+D23</f>
        <v>1926168155.8069348</v>
      </c>
      <c r="E24" s="91">
        <f t="shared" si="9"/>
        <v>2101136288.4952531</v>
      </c>
    </row>
    <row r="29" spans="1:6">
      <c r="A29" s="18" t="s">
        <v>124</v>
      </c>
      <c r="B29" s="18">
        <f>B5+B6+B7</f>
        <v>373582421</v>
      </c>
      <c r="C29" s="80">
        <f t="shared" ref="C29:E29" si="10">C5+C6+C7</f>
        <v>554446330.59807169</v>
      </c>
      <c r="D29" s="80">
        <f t="shared" si="10"/>
        <v>664532472.56655848</v>
      </c>
      <c r="E29" s="80">
        <f t="shared" si="10"/>
        <v>796476381.43636692</v>
      </c>
      <c r="F29" t="s">
        <v>190</v>
      </c>
    </row>
    <row r="30" spans="1:6">
      <c r="A30" s="18" t="s">
        <v>125</v>
      </c>
      <c r="B30" s="18">
        <f>B18+B19+B20+B21</f>
        <v>176410978</v>
      </c>
      <c r="C30" s="80">
        <f t="shared" ref="C30:E30" si="11">C18+C19+C20+C21</f>
        <v>212739307.12229094</v>
      </c>
      <c r="D30" s="80">
        <f t="shared" si="11"/>
        <v>289170536.21175647</v>
      </c>
      <c r="E30" s="80">
        <f t="shared" si="11"/>
        <v>342483231.39059961</v>
      </c>
      <c r="F30" t="s">
        <v>191</v>
      </c>
    </row>
    <row r="31" spans="1:6">
      <c r="A31" s="18" t="s">
        <v>126</v>
      </c>
      <c r="B31" s="18">
        <f>B29-B30</f>
        <v>197171443</v>
      </c>
      <c r="C31" s="80">
        <f t="shared" ref="C31:E31" si="12">C29-C30</f>
        <v>341707023.47578073</v>
      </c>
      <c r="D31" s="80">
        <f t="shared" si="12"/>
        <v>375361936.35480201</v>
      </c>
      <c r="E31" s="80">
        <f t="shared" si="12"/>
        <v>453993150.04576731</v>
      </c>
      <c r="F31" t="s">
        <v>192</v>
      </c>
    </row>
    <row r="32" spans="1:6">
      <c r="A32" s="18" t="s">
        <v>127</v>
      </c>
      <c r="B32" s="18"/>
      <c r="C32" s="18">
        <f>C31-B31</f>
        <v>144535580.47578073</v>
      </c>
      <c r="D32" s="80">
        <f t="shared" ref="D32:E32" si="13">D31-C31</f>
        <v>33654912.879021287</v>
      </c>
      <c r="E32" s="80">
        <f t="shared" si="13"/>
        <v>78631213.690965295</v>
      </c>
      <c r="F32" t="s">
        <v>193</v>
      </c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H17" sqref="H17"/>
    </sheetView>
  </sheetViews>
  <sheetFormatPr baseColWidth="10" defaultColWidth="8.83203125" defaultRowHeight="12" x14ac:dyDescent="0"/>
  <cols>
    <col min="1" max="1" width="28.33203125" customWidth="1"/>
    <col min="2" max="2" width="13" customWidth="1"/>
    <col min="3" max="3" width="16.83203125" customWidth="1"/>
    <col min="4" max="4" width="14.6640625" customWidth="1"/>
    <col min="5" max="5" width="17" customWidth="1"/>
  </cols>
  <sheetData>
    <row r="1" spans="1:5" ht="14">
      <c r="A1" s="11" t="s">
        <v>0</v>
      </c>
      <c r="B1" s="7" t="s">
        <v>98</v>
      </c>
      <c r="C1" s="7" t="s">
        <v>99</v>
      </c>
      <c r="D1" s="7" t="s">
        <v>100</v>
      </c>
      <c r="E1" s="7" t="s">
        <v>101</v>
      </c>
    </row>
    <row r="2" spans="1:5">
      <c r="A2" s="12" t="s">
        <v>84</v>
      </c>
      <c r="B2" s="8">
        <f>'Proforma Income statement '!B6</f>
        <v>81132824</v>
      </c>
      <c r="C2" s="8">
        <f>'Proforma Income statement '!C6</f>
        <v>115825223.47272129</v>
      </c>
      <c r="D2" s="8">
        <f>'Proforma Income statement '!D6</f>
        <v>138822493.52588534</v>
      </c>
      <c r="E2" s="8">
        <f>'Proforma Income statement '!E6</f>
        <v>166385905.6855889</v>
      </c>
    </row>
    <row r="3" spans="1:5">
      <c r="A3" s="12" t="s">
        <v>51</v>
      </c>
      <c r="B3" s="8"/>
      <c r="C3" s="53">
        <f>Calculation!G9</f>
        <v>0.28369128386752807</v>
      </c>
      <c r="D3" s="53">
        <f>C3</f>
        <v>0.28369128386752807</v>
      </c>
      <c r="E3" s="53">
        <f>D3</f>
        <v>0.28369128386752807</v>
      </c>
    </row>
    <row r="4" spans="1:5">
      <c r="A4" s="55" t="s">
        <v>85</v>
      </c>
      <c r="B4" s="57"/>
      <c r="C4" s="57">
        <f>C2*(1-C3)</f>
        <v>82966617.121501639</v>
      </c>
      <c r="D4" s="57">
        <f t="shared" ref="D4:E4" si="0">D2*(1-D3)</f>
        <v>99439762.107835323</v>
      </c>
      <c r="E4" s="57">
        <f t="shared" si="0"/>
        <v>119183674.48418275</v>
      </c>
    </row>
    <row r="5" spans="1:5">
      <c r="A5" s="12" t="s">
        <v>86</v>
      </c>
      <c r="B5" s="8"/>
      <c r="C5" s="75">
        <f>Calculation!G12</f>
        <v>20368193.331497025</v>
      </c>
      <c r="D5" s="75">
        <f>Calculation!H12</f>
        <v>21893823.662994049</v>
      </c>
      <c r="E5" s="75">
        <f>Calculation!I12</f>
        <v>23419453.994491074</v>
      </c>
    </row>
    <row r="6" spans="1:5">
      <c r="A6" s="12" t="s">
        <v>87</v>
      </c>
      <c r="B6" s="8"/>
      <c r="C6" s="8">
        <v>10000000</v>
      </c>
      <c r="D6" s="8">
        <f>C6</f>
        <v>10000000</v>
      </c>
      <c r="E6" s="8">
        <f>D6</f>
        <v>10000000</v>
      </c>
    </row>
    <row r="7" spans="1:5" s="1" customFormat="1">
      <c r="A7" s="95" t="s">
        <v>88</v>
      </c>
      <c r="B7" s="9"/>
      <c r="C7" s="9">
        <f>'Proforma Balance sheet'!C32</f>
        <v>144535580.47578073</v>
      </c>
      <c r="D7" s="9">
        <f>'Proforma Balance sheet'!D32</f>
        <v>33654912.879021287</v>
      </c>
      <c r="E7" s="9">
        <f>'Proforma Balance sheet'!E32</f>
        <v>78631213.690965295</v>
      </c>
    </row>
    <row r="8" spans="1:5">
      <c r="A8" s="12" t="s">
        <v>89</v>
      </c>
      <c r="B8" s="8"/>
      <c r="C8" s="96">
        <f>C4+C5-C6-C7</f>
        <v>-51200770.022782058</v>
      </c>
      <c r="D8" s="8">
        <f t="shared" ref="D8:E8" si="1">D4+D5-D6-D7</f>
        <v>77678672.891808093</v>
      </c>
      <c r="E8" s="8">
        <f t="shared" si="1"/>
        <v>53971914.787708521</v>
      </c>
    </row>
    <row r="9" spans="1:5">
      <c r="A9" s="12" t="s">
        <v>78</v>
      </c>
      <c r="B9" s="8"/>
      <c r="C9" s="53">
        <f>'Discount rate'!B93</f>
        <v>0.21796228186591121</v>
      </c>
      <c r="D9" s="53">
        <f>C9</f>
        <v>0.21796228186591121</v>
      </c>
      <c r="E9" s="53">
        <f>D9</f>
        <v>0.21796228186591121</v>
      </c>
    </row>
    <row r="10" spans="1:5">
      <c r="A10" s="12" t="s">
        <v>90</v>
      </c>
      <c r="B10" s="8"/>
      <c r="C10" s="8">
        <v>1</v>
      </c>
      <c r="D10" s="8">
        <v>2</v>
      </c>
      <c r="E10" s="8">
        <v>3</v>
      </c>
    </row>
    <row r="11" spans="1:5">
      <c r="A11" s="12" t="s">
        <v>91</v>
      </c>
      <c r="B11" s="9"/>
      <c r="C11" s="8">
        <f>1/(1+C9)^C10</f>
        <v>0.82104348787222348</v>
      </c>
      <c r="D11" s="8">
        <f t="shared" ref="D11:E11" si="2">1/(1+D9)^D10</f>
        <v>0.67411240897738611</v>
      </c>
      <c r="E11" s="8">
        <f t="shared" si="2"/>
        <v>0.5534756034847399</v>
      </c>
    </row>
    <row r="12" spans="1:5">
      <c r="A12" s="12" t="s">
        <v>92</v>
      </c>
      <c r="B12" s="8"/>
      <c r="C12" s="8">
        <f>C8*C11</f>
        <v>-42038058.801248565</v>
      </c>
      <c r="D12" s="8">
        <f t="shared" ref="D12:E12" si="3">D8*D11</f>
        <v>52364157.309263133</v>
      </c>
      <c r="E12" s="8">
        <f t="shared" si="3"/>
        <v>29872138.108353931</v>
      </c>
    </row>
    <row r="13" spans="1:5">
      <c r="A13" s="12" t="s">
        <v>93</v>
      </c>
      <c r="B13" s="8">
        <f>SUM(C12:E12)</f>
        <v>40198236.616368502</v>
      </c>
      <c r="C13" s="8"/>
      <c r="D13" s="8"/>
      <c r="E13" s="8"/>
    </row>
    <row r="14" spans="1:5">
      <c r="A14" s="12" t="s">
        <v>81</v>
      </c>
      <c r="B14" s="8"/>
      <c r="C14" s="8"/>
      <c r="D14" s="8"/>
      <c r="E14" s="8">
        <f>'Discount rate'!B97</f>
        <v>0.13</v>
      </c>
    </row>
    <row r="15" spans="1:5">
      <c r="A15" s="12" t="s">
        <v>94</v>
      </c>
      <c r="B15" s="8"/>
      <c r="C15" s="8"/>
      <c r="D15" s="8"/>
      <c r="E15" s="8">
        <f>(E8*(1+E14))/(E9-E14)</f>
        <v>693345629.69933522</v>
      </c>
    </row>
    <row r="16" spans="1:5">
      <c r="A16" s="12" t="s">
        <v>95</v>
      </c>
      <c r="B16" s="8"/>
      <c r="C16" s="8"/>
      <c r="D16" s="8"/>
      <c r="E16" s="8">
        <f>E15*E11</f>
        <v>383749890.82134658</v>
      </c>
    </row>
    <row r="17" spans="1:5">
      <c r="A17" s="12" t="s">
        <v>59</v>
      </c>
      <c r="B17" s="8">
        <f>B13+E16</f>
        <v>423948127.43771505</v>
      </c>
      <c r="C17" s="8"/>
      <c r="D17" s="8"/>
      <c r="E17" s="8"/>
    </row>
    <row r="18" spans="1:5">
      <c r="A18" s="12" t="s">
        <v>96</v>
      </c>
      <c r="B18" s="8">
        <f>'Discount rate'!F78</f>
        <v>242914945</v>
      </c>
      <c r="C18" s="8"/>
      <c r="D18" s="8"/>
      <c r="E18" s="8"/>
    </row>
    <row r="19" spans="1:5">
      <c r="A19" s="12" t="s">
        <v>128</v>
      </c>
      <c r="B19" s="8">
        <f>'Balance sheet '!F8</f>
        <v>205814738</v>
      </c>
      <c r="C19" s="8"/>
      <c r="D19" s="8"/>
      <c r="E19" s="8"/>
    </row>
    <row r="20" spans="1:5">
      <c r="A20" s="12" t="s">
        <v>60</v>
      </c>
      <c r="B20" s="8">
        <f>B17-B18+B19</f>
        <v>386847920.43771505</v>
      </c>
      <c r="C20" s="8"/>
      <c r="D20" s="8"/>
      <c r="E20" s="8"/>
    </row>
    <row r="21" spans="1:5">
      <c r="A21" s="12" t="s">
        <v>97</v>
      </c>
      <c r="B21" s="8">
        <f>'Balance sheet '!F29</f>
        <v>720816</v>
      </c>
      <c r="C21" s="8"/>
      <c r="D21" s="8"/>
      <c r="E21" s="8"/>
    </row>
    <row r="22" spans="1:5">
      <c r="A22" s="12" t="s">
        <v>61</v>
      </c>
      <c r="B22" s="8">
        <f>B20/B21</f>
        <v>536.68054043988343</v>
      </c>
      <c r="C22" s="8"/>
      <c r="D22" s="8"/>
      <c r="E22" s="8"/>
    </row>
  </sheetData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9" sqref="D29"/>
    </sheetView>
  </sheetViews>
  <sheetFormatPr baseColWidth="10" defaultColWidth="11.5" defaultRowHeight="12" x14ac:dyDescent="0"/>
  <cols>
    <col min="1" max="1" width="26" customWidth="1"/>
    <col min="2" max="2" width="16.83203125" customWidth="1"/>
    <col min="3" max="3" width="14.1640625" customWidth="1"/>
    <col min="4" max="4" width="15.6640625" customWidth="1"/>
    <col min="5" max="5" width="17" customWidth="1"/>
  </cols>
  <sheetData>
    <row r="1" spans="1:5" ht="14">
      <c r="A1" s="14" t="s">
        <v>0</v>
      </c>
      <c r="B1" s="7" t="s">
        <v>98</v>
      </c>
      <c r="C1" s="7" t="s">
        <v>99</v>
      </c>
      <c r="D1" s="7" t="s">
        <v>100</v>
      </c>
      <c r="E1" s="7" t="s">
        <v>101</v>
      </c>
    </row>
    <row r="2" spans="1:5">
      <c r="A2" s="8" t="s">
        <v>102</v>
      </c>
      <c r="B2" s="8"/>
      <c r="C2" s="8">
        <f>'Proforma Income statement '!C12</f>
        <v>40906436.259977989</v>
      </c>
      <c r="D2" s="8">
        <f>'Proforma Income statement '!D12</f>
        <v>44108960.856594846</v>
      </c>
      <c r="E2" s="8">
        <f>'Proforma Income statement '!E12</f>
        <v>56284520.4955419</v>
      </c>
    </row>
    <row r="3" spans="1:5">
      <c r="A3" s="8" t="s">
        <v>58</v>
      </c>
      <c r="B3" s="8"/>
      <c r="C3" s="22">
        <f>'Discount rate'!B73</f>
        <v>0.23237997765939666</v>
      </c>
      <c r="D3" s="22">
        <f>C3</f>
        <v>0.23237997765939666</v>
      </c>
      <c r="E3" s="22">
        <f>D3</f>
        <v>0.23237997765939666</v>
      </c>
    </row>
    <row r="4" spans="1:5">
      <c r="A4" s="8" t="s">
        <v>90</v>
      </c>
      <c r="B4" s="8"/>
      <c r="C4" s="8">
        <v>1</v>
      </c>
      <c r="D4" s="8">
        <v>2</v>
      </c>
      <c r="E4" s="8">
        <v>3</v>
      </c>
    </row>
    <row r="5" spans="1:5">
      <c r="A5" s="8" t="s">
        <v>91</v>
      </c>
      <c r="B5" s="8"/>
      <c r="C5" s="22">
        <f>1/(1+C3)^C4</f>
        <v>0.81143804518737361</v>
      </c>
      <c r="D5" s="22">
        <f t="shared" ref="D5:E5" si="0">1/(1+D3)^D4</f>
        <v>0.65843170117750627</v>
      </c>
      <c r="E5" s="22">
        <f t="shared" si="0"/>
        <v>0.53427653249287255</v>
      </c>
    </row>
    <row r="6" spans="1:5">
      <c r="A6" s="8" t="s">
        <v>103</v>
      </c>
      <c r="B6" s="8"/>
      <c r="C6" s="22">
        <f>C2*C5</f>
        <v>33193038.674378436</v>
      </c>
      <c r="D6" s="22">
        <f t="shared" ref="D6:E6" si="1">D2*D5</f>
        <v>29042738.133979779</v>
      </c>
      <c r="E6" s="22">
        <f t="shared" si="1"/>
        <v>30071498.443382144</v>
      </c>
    </row>
    <row r="7" spans="1:5">
      <c r="A7" s="8" t="s">
        <v>104</v>
      </c>
      <c r="B7" s="22">
        <f>SUM(C6:E6)</f>
        <v>92307275.251740366</v>
      </c>
      <c r="C7" s="8"/>
      <c r="D7" s="8"/>
      <c r="E7" s="8"/>
    </row>
    <row r="8" spans="1:5">
      <c r="A8" s="8" t="s">
        <v>81</v>
      </c>
      <c r="B8" s="8"/>
      <c r="C8" s="8"/>
      <c r="D8" s="8"/>
      <c r="E8" s="8">
        <f>'Discount rate'!B97</f>
        <v>0.13</v>
      </c>
    </row>
    <row r="9" spans="1:5">
      <c r="A9" s="8" t="s">
        <v>94</v>
      </c>
      <c r="B9" s="8"/>
      <c r="C9" s="8"/>
      <c r="D9" s="8"/>
      <c r="E9" s="22">
        <f>(E2*(1+E8))/(E3-E8)</f>
        <v>621229947.63248861</v>
      </c>
    </row>
    <row r="10" spans="1:5">
      <c r="A10" s="8" t="s">
        <v>95</v>
      </c>
      <c r="B10" s="8"/>
      <c r="C10" s="8"/>
      <c r="D10" s="8"/>
      <c r="E10" s="8">
        <f>E9*E5</f>
        <v>331908582.30181479</v>
      </c>
    </row>
    <row r="11" spans="1:5">
      <c r="A11" s="8" t="s">
        <v>60</v>
      </c>
      <c r="B11" s="22">
        <f>E10+B7</f>
        <v>424215857.55355513</v>
      </c>
      <c r="C11" s="8"/>
      <c r="D11" s="8"/>
      <c r="E11" s="8"/>
    </row>
    <row r="12" spans="1:5">
      <c r="A12" s="8" t="s">
        <v>97</v>
      </c>
      <c r="B12" s="8">
        <f>'Balance sheet '!F29</f>
        <v>720816</v>
      </c>
      <c r="C12" s="8"/>
      <c r="D12" s="8"/>
      <c r="E12" s="8"/>
    </row>
    <row r="13" spans="1:5">
      <c r="A13" s="8" t="s">
        <v>61</v>
      </c>
      <c r="B13" s="22">
        <f>B11/B12</f>
        <v>588.52169978684594</v>
      </c>
      <c r="C13" s="8"/>
      <c r="D13" s="8"/>
      <c r="E13" s="8"/>
    </row>
  </sheetData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 </vt:lpstr>
      <vt:lpstr>Balance sheet </vt:lpstr>
      <vt:lpstr>Calculation</vt:lpstr>
      <vt:lpstr>Discount rate</vt:lpstr>
      <vt:lpstr>Proforma Income statement </vt:lpstr>
      <vt:lpstr>Proforma Balance sheet</vt:lpstr>
      <vt:lpstr>Proforma -FCF  </vt:lpstr>
      <vt:lpstr>Proforma -DDM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Diu</dc:creator>
  <cp:lastModifiedBy>Department of Finance</cp:lastModifiedBy>
  <dcterms:created xsi:type="dcterms:W3CDTF">2012-04-03T09:13:25Z</dcterms:created>
  <dcterms:modified xsi:type="dcterms:W3CDTF">2017-07-02T12:16:15Z</dcterms:modified>
</cp:coreProperties>
</file>